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DieseArbeitsmappe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c39d041e9e849f/Arbeit/Lärchenholz24/"/>
    </mc:Choice>
  </mc:AlternateContent>
  <xr:revisionPtr revIDLastSave="6" documentId="8_{750F5EEB-7EFE-418B-94F4-1DBBD672BE87}" xr6:coauthVersionLast="47" xr6:coauthVersionMax="47" xr10:uidLastSave="{AEB7587C-E520-4EC0-92B0-C1C5CA94E3FA}"/>
  <workbookProtection workbookAlgorithmName="SHA-512" workbookHashValue="M37p+g7ENHF+d2/iNp3826T+7CN1BGdH6mgA4/a+/Hmp8SZtgznk90umtnXfE3aXvnPGTOI3w4kgJZlkX86SSw==" workbookSaltValue="xgaMMsINe8YeDtOoVcjLZg==" workbookSpinCount="100000" lockStructure="1"/>
  <bookViews>
    <workbookView xWindow="-120" yWindow="-120" windowWidth="29040" windowHeight="15990" xr2:uid="{00000000-000D-0000-FFFF-FFFF00000000}"/>
  </bookViews>
  <sheets>
    <sheet name="Angebot" sheetId="13" r:id="rId1"/>
    <sheet name="Preisermittlung" sheetId="12" state="hidden" r:id="rId2"/>
  </sheets>
  <definedNames>
    <definedName name="_xlnm.Print_Area" localSheetId="0">Angebot!$A$1:$L$39</definedName>
  </definedNames>
  <calcPr calcId="191028" iterateDelta="1E-4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3" l="1"/>
  <c r="R18" i="13"/>
  <c r="R17" i="13"/>
  <c r="R16" i="13"/>
  <c r="R15" i="13"/>
  <c r="R14" i="13"/>
  <c r="R13" i="13"/>
  <c r="R12" i="13"/>
  <c r="R11" i="13"/>
  <c r="R10" i="13"/>
  <c r="O28" i="13"/>
  <c r="S19" i="13"/>
  <c r="S18" i="13"/>
  <c r="S17" i="13"/>
  <c r="R34" i="13"/>
  <c r="P18" i="13"/>
  <c r="P17" i="13"/>
  <c r="P16" i="13"/>
  <c r="Q16" i="13" s="1"/>
  <c r="P41" i="13"/>
  <c r="M19" i="13"/>
  <c r="M18" i="13"/>
  <c r="M17" i="13"/>
  <c r="M16" i="13"/>
  <c r="M15" i="13"/>
  <c r="P15" i="13" s="1"/>
  <c r="Q15" i="13" s="1"/>
  <c r="M14" i="13"/>
  <c r="P14" i="13" s="1"/>
  <c r="M13" i="13"/>
  <c r="P13" i="13" s="1"/>
  <c r="S13" i="13" s="1"/>
  <c r="M12" i="13"/>
  <c r="P12" i="13" s="1"/>
  <c r="Q12" i="13" s="1"/>
  <c r="U12" i="13" s="1"/>
  <c r="J12" i="13" s="1"/>
  <c r="AA12" i="13" s="1"/>
  <c r="M11" i="13"/>
  <c r="P11" i="13" s="1"/>
  <c r="Q11" i="13" s="1"/>
  <c r="M10" i="13"/>
  <c r="P10" i="13" s="1"/>
  <c r="Q10" i="13" s="1"/>
  <c r="M9" i="13"/>
  <c r="P9" i="13" s="1"/>
  <c r="Q9" i="13" s="1"/>
  <c r="U28" i="13"/>
  <c r="U27" i="13"/>
  <c r="U26" i="13"/>
  <c r="U25" i="13"/>
  <c r="U24" i="13"/>
  <c r="N18" i="13"/>
  <c r="Q18" i="13"/>
  <c r="N19" i="13"/>
  <c r="V28" i="13"/>
  <c r="W28" i="13"/>
  <c r="V27" i="13"/>
  <c r="W27" i="13"/>
  <c r="V26" i="13"/>
  <c r="W26" i="13"/>
  <c r="V25" i="13"/>
  <c r="W25" i="13"/>
  <c r="V24" i="13"/>
  <c r="W24" i="13"/>
  <c r="Q19" i="13"/>
  <c r="N9" i="13"/>
  <c r="X32" i="13"/>
  <c r="X31" i="13"/>
  <c r="X30" i="13"/>
  <c r="X29" i="13"/>
  <c r="X28" i="13"/>
  <c r="X27" i="13"/>
  <c r="X26" i="13"/>
  <c r="X25" i="13"/>
  <c r="X24" i="13"/>
  <c r="K17" i="13"/>
  <c r="E20" i="13"/>
  <c r="N10" i="13"/>
  <c r="N11" i="13"/>
  <c r="N12" i="13"/>
  <c r="N13" i="13"/>
  <c r="N14" i="13"/>
  <c r="N15" i="13"/>
  <c r="N16" i="13"/>
  <c r="N17" i="13"/>
  <c r="J47" i="12"/>
  <c r="K47" i="12"/>
  <c r="L47" i="12"/>
  <c r="I47" i="12"/>
  <c r="J46" i="12"/>
  <c r="K46" i="12"/>
  <c r="L46" i="12"/>
  <c r="I46" i="12"/>
  <c r="J45" i="12"/>
  <c r="K45" i="12"/>
  <c r="L45" i="12"/>
  <c r="I45" i="12"/>
  <c r="J44" i="12"/>
  <c r="K44" i="12"/>
  <c r="L44" i="12"/>
  <c r="I44" i="12"/>
  <c r="J43" i="12"/>
  <c r="K43" i="12"/>
  <c r="L43" i="12"/>
  <c r="I43" i="12"/>
  <c r="K42" i="12"/>
  <c r="L42" i="12"/>
  <c r="J42" i="12"/>
  <c r="I42" i="12"/>
  <c r="J41" i="12"/>
  <c r="K41" i="12"/>
  <c r="L41" i="12"/>
  <c r="I41" i="12"/>
  <c r="J40" i="12"/>
  <c r="K40" i="12"/>
  <c r="L40" i="12"/>
  <c r="I40" i="12"/>
  <c r="J39" i="12"/>
  <c r="K39" i="12"/>
  <c r="L39" i="12"/>
  <c r="I39" i="12"/>
  <c r="J38" i="12"/>
  <c r="K38" i="12"/>
  <c r="L38" i="12"/>
  <c r="I38" i="12"/>
  <c r="J37" i="12"/>
  <c r="K37" i="12"/>
  <c r="L37" i="12"/>
  <c r="I37" i="12"/>
  <c r="J36" i="12"/>
  <c r="K36" i="12"/>
  <c r="L36" i="12"/>
  <c r="I36" i="12"/>
  <c r="K35" i="12"/>
  <c r="L35" i="12"/>
  <c r="J35" i="12"/>
  <c r="I35" i="12"/>
  <c r="J34" i="12"/>
  <c r="K34" i="12"/>
  <c r="L34" i="12"/>
  <c r="I34" i="12"/>
  <c r="K33" i="12"/>
  <c r="L33" i="12"/>
  <c r="J33" i="12"/>
  <c r="I33" i="12"/>
  <c r="J32" i="12"/>
  <c r="K32" i="12"/>
  <c r="L32" i="12"/>
  <c r="I32" i="12"/>
  <c r="K31" i="12"/>
  <c r="L31" i="12"/>
  <c r="J31" i="12"/>
  <c r="I31" i="12"/>
  <c r="J30" i="12"/>
  <c r="K30" i="12"/>
  <c r="L30" i="12"/>
  <c r="I30" i="12"/>
  <c r="B30" i="12"/>
  <c r="K29" i="12"/>
  <c r="L29" i="12"/>
  <c r="J29" i="12"/>
  <c r="I29" i="12"/>
  <c r="B29" i="12"/>
  <c r="J28" i="12"/>
  <c r="K28" i="12"/>
  <c r="L28" i="12"/>
  <c r="I28" i="12"/>
  <c r="B28" i="12"/>
  <c r="J27" i="12"/>
  <c r="K27" i="12"/>
  <c r="L27" i="12"/>
  <c r="I27" i="12"/>
  <c r="B27" i="12"/>
  <c r="J26" i="12"/>
  <c r="K26" i="12"/>
  <c r="L26" i="12"/>
  <c r="I26" i="12"/>
  <c r="B26" i="12"/>
  <c r="K25" i="12"/>
  <c r="L25" i="12"/>
  <c r="J25" i="12"/>
  <c r="I25" i="12"/>
  <c r="B25" i="12"/>
  <c r="J24" i="12"/>
  <c r="K24" i="12"/>
  <c r="L24" i="12"/>
  <c r="I24" i="12"/>
  <c r="B24" i="12"/>
  <c r="J23" i="12"/>
  <c r="K23" i="12"/>
  <c r="L23" i="12"/>
  <c r="I23" i="12"/>
  <c r="B23" i="12"/>
  <c r="J22" i="12"/>
  <c r="K22" i="12"/>
  <c r="L22" i="12"/>
  <c r="I22" i="12"/>
  <c r="B22" i="12"/>
  <c r="K21" i="12"/>
  <c r="L21" i="12"/>
  <c r="J21" i="12"/>
  <c r="I21" i="12"/>
  <c r="J18" i="12"/>
  <c r="K18" i="12"/>
  <c r="L18" i="12"/>
  <c r="I18" i="12"/>
  <c r="P8" i="12"/>
  <c r="G8" i="12"/>
  <c r="I8" i="12"/>
  <c r="P7" i="12"/>
  <c r="G7" i="12"/>
  <c r="I7" i="12"/>
  <c r="P6" i="12"/>
  <c r="I6" i="12"/>
  <c r="G6" i="12"/>
  <c r="P5" i="12"/>
  <c r="G5" i="12"/>
  <c r="I5" i="12"/>
  <c r="P4" i="12"/>
  <c r="G4" i="12"/>
  <c r="G13" i="12"/>
  <c r="Q17" i="13"/>
  <c r="I17" i="13" s="1"/>
  <c r="L17" i="13" s="1"/>
  <c r="M24" i="12"/>
  <c r="M37" i="12"/>
  <c r="M44" i="12"/>
  <c r="M22" i="12"/>
  <c r="M34" i="12"/>
  <c r="M41" i="12"/>
  <c r="M29" i="12"/>
  <c r="M38" i="12"/>
  <c r="M27" i="12"/>
  <c r="M32" i="12"/>
  <c r="M45" i="12"/>
  <c r="M18" i="12"/>
  <c r="O18" i="12"/>
  <c r="L19" i="12"/>
  <c r="M13" i="12"/>
  <c r="M14" i="12"/>
  <c r="L13" i="12"/>
  <c r="M25" i="12"/>
  <c r="M35" i="12"/>
  <c r="M39" i="12"/>
  <c r="M42" i="12"/>
  <c r="M23" i="12"/>
  <c r="M30" i="12"/>
  <c r="M46" i="12"/>
  <c r="M28" i="12"/>
  <c r="M33" i="12"/>
  <c r="M36" i="12"/>
  <c r="M40" i="12"/>
  <c r="M21" i="12"/>
  <c r="M26" i="12"/>
  <c r="M43" i="12"/>
  <c r="M47" i="12"/>
  <c r="I4" i="12"/>
  <c r="M31" i="12"/>
  <c r="R18" i="12"/>
  <c r="O35" i="12"/>
  <c r="V35" i="12"/>
  <c r="R35" i="12"/>
  <c r="V44" i="12"/>
  <c r="R44" i="12"/>
  <c r="O44" i="12"/>
  <c r="R45" i="12"/>
  <c r="O45" i="12"/>
  <c r="V45" i="12"/>
  <c r="V36" i="12"/>
  <c r="R36" i="12"/>
  <c r="O36" i="12"/>
  <c r="R29" i="12"/>
  <c r="O29" i="12"/>
  <c r="V29" i="12"/>
  <c r="V26" i="12"/>
  <c r="R26" i="12"/>
  <c r="O26" i="12"/>
  <c r="R23" i="12"/>
  <c r="O23" i="12"/>
  <c r="V23" i="12"/>
  <c r="R25" i="12"/>
  <c r="O25" i="12"/>
  <c r="V25" i="12"/>
  <c r="O32" i="12"/>
  <c r="V32" i="12"/>
  <c r="R32" i="12"/>
  <c r="O43" i="12"/>
  <c r="V43" i="12"/>
  <c r="R43" i="12"/>
  <c r="V30" i="12"/>
  <c r="R30" i="12"/>
  <c r="O30" i="12"/>
  <c r="V33" i="12"/>
  <c r="R33" i="12"/>
  <c r="O33" i="12"/>
  <c r="R41" i="12"/>
  <c r="V41" i="12"/>
  <c r="O41" i="12"/>
  <c r="R27" i="12"/>
  <c r="O27" i="12"/>
  <c r="V27" i="12"/>
  <c r="R34" i="12"/>
  <c r="O34" i="12"/>
  <c r="V34" i="12"/>
  <c r="R37" i="12"/>
  <c r="O37" i="12"/>
  <c r="V37" i="12"/>
  <c r="V31" i="12"/>
  <c r="O31" i="12"/>
  <c r="R31" i="12"/>
  <c r="R42" i="12"/>
  <c r="O42" i="12"/>
  <c r="V42" i="12"/>
  <c r="V24" i="12"/>
  <c r="R24" i="12"/>
  <c r="O24" i="12"/>
  <c r="V21" i="12"/>
  <c r="R21" i="12"/>
  <c r="O21" i="12"/>
  <c r="V28" i="12"/>
  <c r="R28" i="12"/>
  <c r="O28" i="12"/>
  <c r="V47" i="12"/>
  <c r="R47" i="12"/>
  <c r="O47" i="12"/>
  <c r="O40" i="12"/>
  <c r="V40" i="12"/>
  <c r="R40" i="12"/>
  <c r="V46" i="12"/>
  <c r="R46" i="12"/>
  <c r="O46" i="12"/>
  <c r="V39" i="12"/>
  <c r="O39" i="12"/>
  <c r="R39" i="12"/>
  <c r="V38" i="12"/>
  <c r="R38" i="12"/>
  <c r="O38" i="12"/>
  <c r="O22" i="12"/>
  <c r="V22" i="12"/>
  <c r="R22" i="12"/>
  <c r="K13" i="13"/>
  <c r="K15" i="13"/>
  <c r="K14" i="13"/>
  <c r="S39" i="12"/>
  <c r="P39" i="12"/>
  <c r="N39" i="12"/>
  <c r="S29" i="12"/>
  <c r="P29" i="12"/>
  <c r="N29" i="12"/>
  <c r="S44" i="12"/>
  <c r="P44" i="12"/>
  <c r="N44" i="12"/>
  <c r="S31" i="12"/>
  <c r="P31" i="12"/>
  <c r="N31" i="12"/>
  <c r="S22" i="12"/>
  <c r="P22" i="12"/>
  <c r="N22" i="12"/>
  <c r="S28" i="12"/>
  <c r="P28" i="12"/>
  <c r="N28" i="12"/>
  <c r="S38" i="12"/>
  <c r="P38" i="12"/>
  <c r="N38" i="12"/>
  <c r="S42" i="12"/>
  <c r="P42" i="12"/>
  <c r="N42" i="12"/>
  <c r="S21" i="12"/>
  <c r="P21" i="12"/>
  <c r="N21" i="12"/>
  <c r="S34" i="12"/>
  <c r="P34" i="12"/>
  <c r="N34" i="12"/>
  <c r="S33" i="12"/>
  <c r="P33" i="12"/>
  <c r="N33" i="12"/>
  <c r="S43" i="12"/>
  <c r="P43" i="12"/>
  <c r="N43" i="12"/>
  <c r="S23" i="12"/>
  <c r="P23" i="12"/>
  <c r="N23" i="12"/>
  <c r="S36" i="12"/>
  <c r="P36" i="12"/>
  <c r="N36" i="12"/>
  <c r="P40" i="12"/>
  <c r="N40" i="12"/>
  <c r="S40" i="12"/>
  <c r="S26" i="12"/>
  <c r="P26" i="12"/>
  <c r="N26" i="12"/>
  <c r="S24" i="12"/>
  <c r="P24" i="12"/>
  <c r="N24" i="12"/>
  <c r="S27" i="12"/>
  <c r="P27" i="12"/>
  <c r="N27" i="12"/>
  <c r="S30" i="12"/>
  <c r="P30" i="12"/>
  <c r="N30" i="12"/>
  <c r="P32" i="12"/>
  <c r="N32" i="12"/>
  <c r="S32" i="12"/>
  <c r="S35" i="12"/>
  <c r="P35" i="12"/>
  <c r="N35" i="12"/>
  <c r="S47" i="12"/>
  <c r="P47" i="12"/>
  <c r="N47" i="12"/>
  <c r="S46" i="12"/>
  <c r="P46" i="12"/>
  <c r="N46" i="12"/>
  <c r="P45" i="12"/>
  <c r="N45" i="12"/>
  <c r="S45" i="12"/>
  <c r="S18" i="12"/>
  <c r="P18" i="12"/>
  <c r="N18" i="12"/>
  <c r="P37" i="12"/>
  <c r="N37" i="12"/>
  <c r="S37" i="12"/>
  <c r="S41" i="12"/>
  <c r="P41" i="12"/>
  <c r="N41" i="12"/>
  <c r="S25" i="12"/>
  <c r="P25" i="12"/>
  <c r="N25" i="12"/>
  <c r="K11" i="13"/>
  <c r="K10" i="13"/>
  <c r="S16" i="13" l="1"/>
  <c r="K12" i="13"/>
  <c r="S12" i="13"/>
  <c r="T12" i="13" s="1"/>
  <c r="Q14" i="13"/>
  <c r="I14" i="13" s="1"/>
  <c r="L14" i="13" s="1"/>
  <c r="S14" i="13"/>
  <c r="S10" i="13"/>
  <c r="V10" i="13" s="1"/>
  <c r="R9" i="13"/>
  <c r="S9" i="13" s="1"/>
  <c r="I9" i="13" s="1"/>
  <c r="L9" i="13" s="1"/>
  <c r="S11" i="13"/>
  <c r="S15" i="13"/>
  <c r="I10" i="13"/>
  <c r="L10" i="13" s="1"/>
  <c r="U10" i="13"/>
  <c r="J10" i="13" s="1"/>
  <c r="AA10" i="13" s="1"/>
  <c r="I15" i="13"/>
  <c r="L15" i="13" s="1"/>
  <c r="V15" i="13"/>
  <c r="V17" i="13"/>
  <c r="V18" i="13"/>
  <c r="U18" i="13"/>
  <c r="I11" i="13"/>
  <c r="L11" i="13" s="1"/>
  <c r="U11" i="13"/>
  <c r="J11" i="13" s="1"/>
  <c r="AA11" i="13" s="1"/>
  <c r="U16" i="13"/>
  <c r="J16" i="13" s="1"/>
  <c r="I16" i="13"/>
  <c r="L16" i="13" s="1"/>
  <c r="T18" i="13"/>
  <c r="U19" i="13"/>
  <c r="J19" i="13" s="1"/>
  <c r="I19" i="13"/>
  <c r="L19" i="13" s="1"/>
  <c r="U9" i="13"/>
  <c r="U15" i="13"/>
  <c r="J15" i="13" s="1"/>
  <c r="AA15" i="13" s="1"/>
  <c r="I12" i="13"/>
  <c r="L12" i="13" s="1"/>
  <c r="Q13" i="13"/>
  <c r="T15" i="13"/>
  <c r="U17" i="13"/>
  <c r="J17" i="13" s="1"/>
  <c r="AA17" i="13" s="1"/>
  <c r="AA16" i="13" l="1"/>
  <c r="K16" i="13"/>
  <c r="V12" i="13"/>
  <c r="T10" i="13"/>
  <c r="U14" i="13"/>
  <c r="J14" i="13" s="1"/>
  <c r="AA14" i="13" s="1"/>
  <c r="T17" i="13"/>
  <c r="K19" i="13"/>
  <c r="AA19" i="13"/>
  <c r="T9" i="13"/>
  <c r="V9" i="13"/>
  <c r="J9" i="13" s="1"/>
  <c r="V19" i="13"/>
  <c r="T19" i="13"/>
  <c r="T16" i="13"/>
  <c r="V16" i="13"/>
  <c r="V11" i="13"/>
  <c r="T11" i="13"/>
  <c r="T14" i="13"/>
  <c r="V14" i="13"/>
  <c r="U13" i="13"/>
  <c r="J13" i="13" s="1"/>
  <c r="AA13" i="13" s="1"/>
  <c r="I13" i="13"/>
  <c r="L13" i="13" s="1"/>
  <c r="L20" i="13" s="1"/>
  <c r="AA9" i="13" l="1"/>
  <c r="K9" i="13"/>
  <c r="L21" i="13"/>
  <c r="L22" i="13" s="1"/>
  <c r="V13" i="13"/>
  <c r="T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Bergmann</author>
  </authors>
  <commentList>
    <comment ref="V24" authorId="0" shapeId="0" xr:uid="{904EB339-79EA-4946-B198-080262022ECD}">
      <text>
        <r>
          <rPr>
            <b/>
            <sz val="9"/>
            <color indexed="81"/>
            <rFont val="Segoe UI"/>
            <family val="2"/>
          </rPr>
          <t>Thomas Bergmann:</t>
        </r>
        <r>
          <rPr>
            <sz val="9"/>
            <color indexed="81"/>
            <rFont val="Segoe UI"/>
            <family val="2"/>
          </rPr>
          <t xml:space="preserve">
Diese Spalte ist Berechnungsgrundlage  für Angebotsformular</t>
        </r>
      </text>
    </comment>
    <comment ref="O28" authorId="0" shapeId="0" xr:uid="{9CE1A152-18D1-4E57-90FF-BFEF542645A6}">
      <text>
        <r>
          <rPr>
            <b/>
            <sz val="9"/>
            <color indexed="81"/>
            <rFont val="Segoe UI"/>
            <family val="2"/>
          </rPr>
          <t>Thomas Bergmann:</t>
        </r>
        <r>
          <rPr>
            <sz val="9"/>
            <color indexed="81"/>
            <rFont val="Segoe UI"/>
            <family val="2"/>
          </rPr>
          <t xml:space="preserve">
Transport in Preisberechnung ohne Marge</t>
        </r>
      </text>
    </comment>
  </commentList>
</comments>
</file>

<file path=xl/sharedStrings.xml><?xml version="1.0" encoding="utf-8"?>
<sst xmlns="http://schemas.openxmlformats.org/spreadsheetml/2006/main" count="201" uniqueCount="117">
  <si>
    <t>Kantholz</t>
  </si>
  <si>
    <t>Ergebnis</t>
  </si>
  <si>
    <t>Menge</t>
  </si>
  <si>
    <t>Transport</t>
  </si>
  <si>
    <t>Brett</t>
  </si>
  <si>
    <t>EK</t>
  </si>
  <si>
    <t>£ EK</t>
  </si>
  <si>
    <t>Baumart</t>
  </si>
  <si>
    <t>Nr.</t>
  </si>
  <si>
    <t>1.</t>
  </si>
  <si>
    <t>2.</t>
  </si>
  <si>
    <t>3.</t>
  </si>
  <si>
    <t>4.</t>
  </si>
  <si>
    <t>5.</t>
  </si>
  <si>
    <t>6.</t>
  </si>
  <si>
    <t>€/Stck Netto</t>
  </si>
  <si>
    <t>€/m² Netto</t>
  </si>
  <si>
    <t>19 % MwSt.:</t>
  </si>
  <si>
    <t>7.</t>
  </si>
  <si>
    <t>8.</t>
  </si>
  <si>
    <t>9.</t>
  </si>
  <si>
    <t>10.</t>
  </si>
  <si>
    <t>Bezeichnung</t>
  </si>
  <si>
    <t>Zu-/Abschlag</t>
  </si>
  <si>
    <t>VK Preis</t>
  </si>
  <si>
    <t xml:space="preserve">Lieferart: </t>
  </si>
  <si>
    <t>Lieferzeit:</t>
  </si>
  <si>
    <t>Zahlungsziel:</t>
  </si>
  <si>
    <t>bei Lieferung</t>
  </si>
  <si>
    <t>Zahlungsart:</t>
  </si>
  <si>
    <t>Sägeverlust</t>
  </si>
  <si>
    <t>gehobelt</t>
  </si>
  <si>
    <t>Kanten</t>
  </si>
  <si>
    <t>sägerauh</t>
  </si>
  <si>
    <t>Summe Brutto Abholung:</t>
  </si>
  <si>
    <t>Name:</t>
  </si>
  <si>
    <t>Telefon:</t>
  </si>
  <si>
    <t>E-Mail:</t>
  </si>
  <si>
    <t>PLZ:</t>
  </si>
  <si>
    <t>Stärke mm</t>
  </si>
  <si>
    <t>Breite mm</t>
  </si>
  <si>
    <t>Straße, Nr:</t>
  </si>
  <si>
    <t>Ort:</t>
  </si>
  <si>
    <t>Handy:</t>
  </si>
  <si>
    <t>Fax:</t>
  </si>
  <si>
    <t>Der Rechner für Ihr persönliches Angebot: Daten eingeben, ausdrucken oder speichern und versenden!</t>
  </si>
  <si>
    <t>Länge cm</t>
  </si>
  <si>
    <t>Raum für andere Wünsche:</t>
  </si>
  <si>
    <t>unbesäumt</t>
  </si>
  <si>
    <t>Lärche/Dgl.</t>
  </si>
  <si>
    <t xml:space="preserve">       , Bar, Vorabüberweisung oder PayPal mit Käuferschutz (zzgl. 2%)  </t>
  </si>
  <si>
    <t>Dachlatte</t>
  </si>
  <si>
    <t>Bohle</t>
  </si>
  <si>
    <t>Esche</t>
  </si>
  <si>
    <t>Eiche</t>
  </si>
  <si>
    <t>&lt;Faktor 2000</t>
  </si>
  <si>
    <t>Grundpreis</t>
  </si>
  <si>
    <t>Grenze</t>
  </si>
  <si>
    <t>Faktor 1</t>
  </si>
  <si>
    <t>Faktor 2</t>
  </si>
  <si>
    <t>max</t>
  </si>
  <si>
    <t>&gt;150mm Breite</t>
  </si>
  <si>
    <t>zuschlag hobeln</t>
  </si>
  <si>
    <t>zzgl.</t>
  </si>
  <si>
    <t>pro lfm</t>
  </si>
  <si>
    <t>Zeilen und Spalten nicht mehr verschieben, löschen oder einfügen</t>
  </si>
  <si>
    <t>Preisberechnung Schnittholz</t>
  </si>
  <si>
    <t xml:space="preserve">Grundpreis </t>
  </si>
  <si>
    <t>mit Rabatt</t>
  </si>
  <si>
    <t>Ursprungswerte</t>
  </si>
  <si>
    <t>Säge var. K.</t>
  </si>
  <si>
    <t>DB</t>
  </si>
  <si>
    <t>Grundpreis EKA 425,- €!</t>
  </si>
  <si>
    <t>Fichte/Tanne</t>
  </si>
  <si>
    <t>Kirsche</t>
  </si>
  <si>
    <t>Schnittverlust mm</t>
  </si>
  <si>
    <t>bei hobeln sägen auf Begleitschein zzgl. 3 mm</t>
  </si>
  <si>
    <t>gewählt:</t>
  </si>
  <si>
    <t>Wert gewählt</t>
  </si>
  <si>
    <t>diese Zeile wird über das Eingabeformular gefüllt, und Wert zurück gegeben -&gt;</t>
  </si>
  <si>
    <t>Stärke</t>
  </si>
  <si>
    <t>Breite</t>
  </si>
  <si>
    <t>Länge</t>
  </si>
  <si>
    <t>Zuschlag</t>
  </si>
  <si>
    <t>Zuschlag eff.</t>
  </si>
  <si>
    <t>pro m incl.</t>
  </si>
  <si>
    <t>Info Koeff.</t>
  </si>
  <si>
    <t>Info Fakt.</t>
  </si>
  <si>
    <t>sägerauh Stck</t>
  </si>
  <si>
    <t>gehobelt Stck</t>
  </si>
  <si>
    <t>Liste EKA (Preis -15% beachten!)</t>
  </si>
  <si>
    <t>Gewichte</t>
  </si>
  <si>
    <t>Leiste</t>
  </si>
  <si>
    <t>Bonanzabrett</t>
  </si>
  <si>
    <t>pro m³</t>
  </si>
  <si>
    <t>pro Stck</t>
  </si>
  <si>
    <t>Info:</t>
  </si>
  <si>
    <t>=Eingabefelder</t>
  </si>
  <si>
    <t>Marge</t>
  </si>
  <si>
    <t>derzeit je nach Sortiment 1-6 Wochen</t>
  </si>
  <si>
    <t>Bitte geben Sie hier zumindest Namen und E-Mail Adresse oder Telefonnummer ein, damit wir Sie erreichen können:</t>
  </si>
  <si>
    <t>11.</t>
  </si>
  <si>
    <t>Abholung in Oberhof 8, 24623 Großenaspe oder Lieferung n. Absprache</t>
  </si>
  <si>
    <t>Su Netto</t>
  </si>
  <si>
    <t>€/lfm Netto</t>
  </si>
  <si>
    <t>€/lfm Brutto</t>
  </si>
  <si>
    <t>Volumen</t>
  </si>
  <si>
    <t>Grundpreis:</t>
  </si>
  <si>
    <t>Schalungsobergrenze:</t>
  </si>
  <si>
    <t>Preis Schalung:</t>
  </si>
  <si>
    <t>Zuschlag Überbreite:</t>
  </si>
  <si>
    <t>Latten:</t>
  </si>
  <si>
    <t>Zuschlag Transport:</t>
  </si>
  <si>
    <t>Marge:</t>
  </si>
  <si>
    <t>Preis Bonanza:</t>
  </si>
  <si>
    <t>Zuschlag Schalung hobeln:</t>
  </si>
  <si>
    <t>Zuschlag Kantholz hobeln: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</si>
</sst>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\ &quot;cm&quot;"/>
    <numFmt numFmtId="165" formatCode="0\ &quot;mm&quot;"/>
    <numFmt numFmtId="166" formatCode="0\ &quot;Stck&quot;"/>
    <numFmt numFmtId="167" formatCode="#,##0.00\ [$€-407];[Red]\-#,##0.00\ [$€-407]"/>
    <numFmt numFmtId="168" formatCode="_-* #,##0.00\ [$€-407]_-;\-* #,##0.00\ [$€-407]_-;_-* &quot;-&quot;??\ [$€-407]_-;_-@_-"/>
    <numFmt numFmtId="169" formatCode="&quot;V&quot;yymmdd;@"/>
    <numFmt numFmtId="170" formatCode="_-* #,##0.0000_-;\-* #,##0.0000_-;_-* &quot;-&quot;??_-;_-@_-"/>
    <numFmt numFmtId="171" formatCode="_-* #,##0_-;\-* #,##0_-;_-* &quot;-&quot;??_-;_-@_-"/>
    <numFmt numFmtId="172" formatCode="0.00\ &quot;€/Fm&quot;"/>
    <numFmt numFmtId="173" formatCode="0\ &quot;€/Fm&quot;"/>
    <numFmt numFmtId="174" formatCode="0.0%"/>
    <numFmt numFmtId="175" formatCode="#,##0.00&quot; kg/m³&quot;"/>
    <numFmt numFmtId="176" formatCode="0&quot;-220 mm&quot;"/>
    <numFmt numFmtId="177" formatCode="0.000000\ &quot;m³&quot;"/>
    <numFmt numFmtId="178" formatCode="0\ &quot;€/m³&quot;"/>
    <numFmt numFmtId="179" formatCode="0.00\ &quot;€/m³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20"/>
      <name val="Calibri"/>
      <family val="2"/>
      <scheme val="minor"/>
    </font>
    <font>
      <sz val="11"/>
      <color rgb="FF3F3F76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1"/>
      <name val="Arial"/>
      <family val="2"/>
    </font>
    <font>
      <sz val="11"/>
      <color rgb="FFFA7D0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theme="1"/>
      </bottom>
      <diagonal/>
    </border>
    <border>
      <left style="thin">
        <color rgb="FF7F7F7F"/>
      </left>
      <right style="medium">
        <color auto="1"/>
      </right>
      <top style="thin">
        <color rgb="FF7F7F7F"/>
      </top>
      <bottom style="double">
        <color theme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7F7F7F"/>
      </right>
      <top/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medium">
        <color theme="5" tint="-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double">
        <color indexed="64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rgb="FF7F7F7F"/>
      </left>
      <right style="medium">
        <color rgb="FFFF0000"/>
      </right>
      <top style="medium">
        <color rgb="FFFF0000"/>
      </top>
      <bottom style="thin">
        <color rgb="FF7F7F7F"/>
      </bottom>
      <diagonal/>
    </border>
    <border>
      <left style="medium">
        <color rgb="FFFF0000"/>
      </left>
      <right/>
      <top/>
      <bottom/>
      <diagonal/>
    </border>
    <border>
      <left style="thin">
        <color rgb="FF7F7F7F"/>
      </left>
      <right style="medium">
        <color rgb="FFFF0000"/>
      </right>
      <top style="thin">
        <color rgb="FF7F7F7F"/>
      </top>
      <bottom style="thin">
        <color rgb="FF7F7F7F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7F7F7F"/>
      </left>
      <right style="medium">
        <color rgb="FFFF0000"/>
      </right>
      <top style="thin">
        <color rgb="FF7F7F7F"/>
      </top>
      <bottom style="medium">
        <color rgb="FFFF0000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2" borderId="2" applyNumberFormat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2" borderId="2" applyNumberFormat="0" applyAlignment="0" applyProtection="0"/>
    <xf numFmtId="0" fontId="16" fillId="2" borderId="2" applyNumberFormat="0" applyAlignment="0" applyProtection="0"/>
    <xf numFmtId="0" fontId="24" fillId="0" borderId="52" applyNumberFormat="0" applyFill="0" applyAlignment="0" applyProtection="0"/>
  </cellStyleXfs>
  <cellXfs count="174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168" fontId="0" fillId="0" borderId="0" xfId="1" applyNumberFormat="1" applyFont="1" applyAlignment="1">
      <alignment horizontal="center"/>
    </xf>
    <xf numFmtId="168" fontId="2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8" fontId="0" fillId="0" borderId="0" xfId="0" applyNumberFormat="1" applyAlignment="1">
      <alignment horizontal="center"/>
    </xf>
    <xf numFmtId="44" fontId="0" fillId="0" borderId="8" xfId="1" applyFont="1" applyBorder="1" applyAlignment="1">
      <alignment horizontal="center"/>
    </xf>
    <xf numFmtId="0" fontId="3" fillId="2" borderId="2" xfId="2"/>
    <xf numFmtId="0" fontId="0" fillId="0" borderId="0" xfId="0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44" fontId="0" fillId="0" borderId="0" xfId="1" applyFont="1" applyAlignment="1">
      <alignment horizontal="center" vertical="top"/>
    </xf>
    <xf numFmtId="0" fontId="8" fillId="0" borderId="0" xfId="0" applyFont="1" applyAlignment="1">
      <alignment vertical="top"/>
    </xf>
    <xf numFmtId="44" fontId="5" fillId="0" borderId="0" xfId="1" applyFont="1" applyAlignment="1">
      <alignment horizontal="left"/>
    </xf>
    <xf numFmtId="44" fontId="9" fillId="0" borderId="0" xfId="4" applyNumberFormat="1" applyFont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textRotation="90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166" fontId="0" fillId="0" borderId="0" xfId="0" applyNumberFormat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6" xfId="0" applyBorder="1"/>
    <xf numFmtId="44" fontId="0" fillId="0" borderId="26" xfId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 indent="1"/>
    </xf>
    <xf numFmtId="44" fontId="13" fillId="0" borderId="2" xfId="6" applyNumberFormat="1" applyFont="1" applyFill="1" applyAlignment="1">
      <alignment horizontal="center"/>
    </xf>
    <xf numFmtId="171" fontId="0" fillId="0" borderId="0" xfId="5" applyNumberFormat="1" applyFont="1" applyAlignment="1">
      <alignment horizontal="right" indent="1"/>
    </xf>
    <xf numFmtId="0" fontId="0" fillId="0" borderId="0" xfId="0" applyAlignment="1">
      <alignment horizontal="right" indent="1"/>
    </xf>
    <xf numFmtId="167" fontId="0" fillId="0" borderId="5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7" xfId="0" applyNumberFormat="1" applyBorder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left" indent="1"/>
    </xf>
    <xf numFmtId="0" fontId="15" fillId="0" borderId="0" xfId="0" applyFont="1"/>
    <xf numFmtId="2" fontId="0" fillId="0" borderId="0" xfId="0" applyNumberFormat="1" applyAlignment="1">
      <alignment horizontal="center"/>
    </xf>
    <xf numFmtId="171" fontId="0" fillId="0" borderId="0" xfId="5" applyNumberFormat="1" applyFont="1" applyAlignment="1">
      <alignment horizontal="center"/>
    </xf>
    <xf numFmtId="0" fontId="0" fillId="0" borderId="27" xfId="0" applyBorder="1" applyAlignment="1">
      <alignment horizontal="left"/>
    </xf>
    <xf numFmtId="0" fontId="0" fillId="0" borderId="0" xfId="0" applyAlignment="1">
      <alignment wrapText="1"/>
    </xf>
    <xf numFmtId="170" fontId="3" fillId="2" borderId="2" xfId="7" applyNumberFormat="1" applyFont="1" applyAlignment="1">
      <alignment horizontal="center"/>
    </xf>
    <xf numFmtId="0" fontId="0" fillId="0" borderId="28" xfId="0" applyBorder="1"/>
    <xf numFmtId="0" fontId="17" fillId="0" borderId="0" xfId="0" applyFont="1"/>
    <xf numFmtId="0" fontId="0" fillId="4" borderId="29" xfId="0" applyFill="1" applyBorder="1"/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18" fillId="5" borderId="0" xfId="0" applyFont="1" applyFill="1"/>
    <xf numFmtId="0" fontId="0" fillId="5" borderId="0" xfId="0" applyFill="1"/>
    <xf numFmtId="9" fontId="16" fillId="2" borderId="32" xfId="7" applyNumberFormat="1" applyBorder="1"/>
    <xf numFmtId="44" fontId="19" fillId="6" borderId="2" xfId="6" applyNumberFormat="1" applyFont="1" applyFill="1"/>
    <xf numFmtId="0" fontId="0" fillId="0" borderId="33" xfId="0" applyBorder="1"/>
    <xf numFmtId="172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173" fontId="3" fillId="2" borderId="2" xfId="7" applyNumberFormat="1" applyFont="1" applyAlignment="1">
      <alignment horizontal="center"/>
    </xf>
    <xf numFmtId="9" fontId="0" fillId="0" borderId="34" xfId="3" applyFont="1" applyBorder="1" applyAlignment="1">
      <alignment horizontal="center"/>
    </xf>
    <xf numFmtId="171" fontId="3" fillId="2" borderId="2" xfId="7" applyNumberFormat="1" applyFont="1" applyAlignment="1">
      <alignment horizontal="right"/>
    </xf>
    <xf numFmtId="44" fontId="0" fillId="0" borderId="28" xfId="1" applyFont="1" applyBorder="1"/>
    <xf numFmtId="171" fontId="19" fillId="6" borderId="2" xfId="7" applyNumberFormat="1" applyFont="1" applyFill="1" applyAlignment="1">
      <alignment horizontal="right"/>
    </xf>
    <xf numFmtId="171" fontId="3" fillId="2" borderId="2" xfId="7" applyNumberFormat="1" applyFont="1" applyAlignment="1">
      <alignment horizontal="center"/>
    </xf>
    <xf numFmtId="171" fontId="19" fillId="6" borderId="2" xfId="7" applyNumberFormat="1" applyFont="1" applyFill="1" applyAlignment="1">
      <alignment horizontal="center"/>
    </xf>
    <xf numFmtId="44" fontId="0" fillId="0" borderId="35" xfId="1" applyFont="1" applyBorder="1"/>
    <xf numFmtId="0" fontId="19" fillId="0" borderId="0" xfId="0" applyFont="1" applyAlignment="1">
      <alignment horizontal="center"/>
    </xf>
    <xf numFmtId="0" fontId="0" fillId="0" borderId="34" xfId="0" applyBorder="1"/>
    <xf numFmtId="10" fontId="3" fillId="2" borderId="2" xfId="7" applyNumberFormat="1" applyFont="1" applyAlignment="1">
      <alignment horizontal="right" indent="1"/>
    </xf>
    <xf numFmtId="10" fontId="19" fillId="6" borderId="2" xfId="7" applyNumberFormat="1" applyFont="1" applyFill="1" applyAlignment="1">
      <alignment horizontal="right" indent="1"/>
    </xf>
    <xf numFmtId="44" fontId="3" fillId="2" borderId="2" xfId="6" applyNumberFormat="1"/>
    <xf numFmtId="0" fontId="0" fillId="0" borderId="0" xfId="0" applyAlignment="1">
      <alignment horizontal="left" indent="1"/>
    </xf>
    <xf numFmtId="43" fontId="13" fillId="5" borderId="2" xfId="6" applyNumberFormat="1" applyFont="1" applyFill="1" applyAlignment="1">
      <alignment horizontal="center"/>
    </xf>
    <xf numFmtId="0" fontId="18" fillId="0" borderId="0" xfId="0" applyFont="1" applyAlignment="1">
      <alignment horizontal="left" indent="1"/>
    </xf>
    <xf numFmtId="43" fontId="19" fillId="7" borderId="2" xfId="6" applyNumberFormat="1" applyFont="1" applyFill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3" fillId="0" borderId="39" xfId="0" applyFont="1" applyBorder="1" applyAlignment="1">
      <alignment horizontal="center"/>
    </xf>
    <xf numFmtId="172" fontId="0" fillId="0" borderId="0" xfId="0" applyNumberFormat="1"/>
    <xf numFmtId="4" fontId="20" fillId="8" borderId="39" xfId="0" applyNumberFormat="1" applyFont="1" applyFill="1" applyBorder="1" applyAlignment="1">
      <alignment horizontal="center"/>
    </xf>
    <xf numFmtId="10" fontId="13" fillId="0" borderId="2" xfId="3" applyNumberFormat="1" applyFont="1" applyFill="1" applyBorder="1" applyAlignment="1">
      <alignment horizontal="right" indent="1"/>
    </xf>
    <xf numFmtId="165" fontId="13" fillId="0" borderId="2" xfId="6" applyNumberFormat="1" applyFont="1" applyFill="1" applyAlignment="1">
      <alignment horizontal="center"/>
    </xf>
    <xf numFmtId="164" fontId="13" fillId="0" borderId="2" xfId="6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171" fontId="21" fillId="0" borderId="0" xfId="5" applyNumberFormat="1" applyFont="1" applyAlignment="1">
      <alignment horizontal="center"/>
    </xf>
    <xf numFmtId="174" fontId="0" fillId="0" borderId="0" xfId="3" applyNumberFormat="1" applyFont="1"/>
    <xf numFmtId="44" fontId="0" fillId="0" borderId="0" xfId="0" applyNumberFormat="1"/>
    <xf numFmtId="44" fontId="0" fillId="0" borderId="0" xfId="1" applyFont="1"/>
    <xf numFmtId="9" fontId="17" fillId="0" borderId="0" xfId="3" applyFont="1" applyAlignment="1">
      <alignment horizontal="center"/>
    </xf>
    <xf numFmtId="2" fontId="0" fillId="0" borderId="37" xfId="0" applyNumberFormat="1" applyBorder="1" applyAlignment="1">
      <alignment horizontal="center"/>
    </xf>
    <xf numFmtId="171" fontId="0" fillId="0" borderId="37" xfId="5" applyNumberFormat="1" applyFont="1" applyBorder="1" applyAlignment="1">
      <alignment horizontal="center"/>
    </xf>
    <xf numFmtId="44" fontId="0" fillId="0" borderId="37" xfId="0" applyNumberFormat="1" applyBorder="1"/>
    <xf numFmtId="2" fontId="21" fillId="0" borderId="0" xfId="0" applyNumberFormat="1" applyFont="1" applyAlignment="1">
      <alignment horizontal="center" wrapText="1"/>
    </xf>
    <xf numFmtId="0" fontId="0" fillId="0" borderId="40" xfId="0" applyBorder="1" applyAlignment="1">
      <alignment wrapText="1"/>
    </xf>
    <xf numFmtId="0" fontId="2" fillId="0" borderId="37" xfId="0" applyFont="1" applyBorder="1" applyAlignment="1">
      <alignment wrapText="1"/>
    </xf>
    <xf numFmtId="165" fontId="3" fillId="2" borderId="2" xfId="6" applyNumberFormat="1" applyAlignment="1">
      <alignment horizontal="center"/>
    </xf>
    <xf numFmtId="164" fontId="3" fillId="2" borderId="2" xfId="6" applyNumberFormat="1" applyAlignment="1">
      <alignment horizontal="center"/>
    </xf>
    <xf numFmtId="44" fontId="0" fillId="0" borderId="43" xfId="1" applyFont="1" applyBorder="1"/>
    <xf numFmtId="175" fontId="22" fillId="0" borderId="34" xfId="0" applyNumberFormat="1" applyFont="1" applyBorder="1" applyAlignment="1">
      <alignment horizontal="right" indent="1"/>
    </xf>
    <xf numFmtId="0" fontId="0" fillId="0" borderId="44" xfId="0" applyBorder="1"/>
    <xf numFmtId="165" fontId="3" fillId="2" borderId="45" xfId="6" applyNumberFormat="1" applyBorder="1" applyAlignment="1">
      <alignment horizontal="center"/>
    </xf>
    <xf numFmtId="164" fontId="3" fillId="2" borderId="45" xfId="6" applyNumberFormat="1" applyBorder="1" applyAlignment="1">
      <alignment horizontal="center"/>
    </xf>
    <xf numFmtId="2" fontId="21" fillId="0" borderId="44" xfId="0" applyNumberFormat="1" applyFont="1" applyBorder="1" applyAlignment="1">
      <alignment horizontal="center"/>
    </xf>
    <xf numFmtId="171" fontId="21" fillId="0" borderId="44" xfId="5" applyNumberFormat="1" applyFont="1" applyBorder="1" applyAlignment="1">
      <alignment horizontal="center"/>
    </xf>
    <xf numFmtId="174" fontId="0" fillId="0" borderId="44" xfId="3" applyNumberFormat="1" applyFont="1" applyBorder="1"/>
    <xf numFmtId="44" fontId="0" fillId="0" borderId="44" xfId="0" applyNumberFormat="1" applyBorder="1"/>
    <xf numFmtId="44" fontId="0" fillId="0" borderId="46" xfId="1" applyFont="1" applyBorder="1"/>
    <xf numFmtId="9" fontId="17" fillId="0" borderId="44" xfId="3" applyFont="1" applyBorder="1" applyAlignment="1">
      <alignment horizontal="center"/>
    </xf>
    <xf numFmtId="165" fontId="3" fillId="2" borderId="3" xfId="6" applyNumberFormat="1" applyBorder="1" applyAlignment="1">
      <alignment horizontal="center"/>
    </xf>
    <xf numFmtId="164" fontId="3" fillId="2" borderId="3" xfId="6" applyNumberFormat="1" applyBorder="1" applyAlignment="1">
      <alignment horizontal="center"/>
    </xf>
    <xf numFmtId="176" fontId="3" fillId="2" borderId="2" xfId="6" applyNumberFormat="1" applyAlignment="1">
      <alignment horizontal="center"/>
    </xf>
    <xf numFmtId="175" fontId="22" fillId="0" borderId="38" xfId="0" applyNumberFormat="1" applyFont="1" applyBorder="1" applyAlignment="1">
      <alignment horizontal="right" indent="1"/>
    </xf>
    <xf numFmtId="167" fontId="0" fillId="0" borderId="47" xfId="0" applyNumberFormat="1" applyBorder="1" applyAlignment="1">
      <alignment horizontal="center"/>
    </xf>
    <xf numFmtId="167" fontId="0" fillId="0" borderId="37" xfId="0" applyNumberFormat="1" applyBorder="1" applyAlignment="1">
      <alignment horizontal="center"/>
    </xf>
    <xf numFmtId="168" fontId="0" fillId="0" borderId="48" xfId="0" applyNumberFormat="1" applyBorder="1" applyAlignment="1">
      <alignment horizontal="center"/>
    </xf>
    <xf numFmtId="2" fontId="21" fillId="0" borderId="14" xfId="0" applyNumberFormat="1" applyFont="1" applyBorder="1" applyAlignment="1">
      <alignment horizontal="center" wrapText="1"/>
    </xf>
    <xf numFmtId="2" fontId="21" fillId="0" borderId="4" xfId="0" applyNumberFormat="1" applyFont="1" applyBorder="1" applyAlignment="1">
      <alignment horizontal="center" wrapText="1"/>
    </xf>
    <xf numFmtId="0" fontId="0" fillId="0" borderId="4" xfId="0" applyBorder="1"/>
    <xf numFmtId="0" fontId="23" fillId="0" borderId="0" xfId="0" applyFont="1"/>
    <xf numFmtId="49" fontId="5" fillId="0" borderId="0" xfId="0" applyNumberFormat="1" applyFont="1"/>
    <xf numFmtId="9" fontId="3" fillId="2" borderId="2" xfId="7" applyNumberFormat="1" applyFont="1" applyAlignment="1">
      <alignment horizontal="center"/>
    </xf>
    <xf numFmtId="172" fontId="24" fillId="0" borderId="52" xfId="8" applyNumberFormat="1" applyAlignment="1">
      <alignment horizontal="center"/>
    </xf>
    <xf numFmtId="0" fontId="4" fillId="9" borderId="49" xfId="0" applyFont="1" applyFill="1" applyBorder="1" applyAlignment="1">
      <alignment horizontal="center" vertical="center" wrapText="1"/>
    </xf>
    <xf numFmtId="168" fontId="0" fillId="0" borderId="50" xfId="0" applyNumberFormat="1" applyBorder="1"/>
    <xf numFmtId="168" fontId="0" fillId="0" borderId="51" xfId="0" applyNumberFormat="1" applyBorder="1"/>
    <xf numFmtId="177" fontId="21" fillId="0" borderId="0" xfId="0" applyNumberFormat="1" applyFont="1" applyAlignment="1">
      <alignment horizontal="center"/>
    </xf>
    <xf numFmtId="0" fontId="0" fillId="0" borderId="53" xfId="0" applyBorder="1"/>
    <xf numFmtId="0" fontId="0" fillId="0" borderId="54" xfId="0" applyBorder="1" applyAlignment="1">
      <alignment horizontal="right"/>
    </xf>
    <xf numFmtId="178" fontId="3" fillId="2" borderId="55" xfId="6" applyNumberFormat="1" applyBorder="1"/>
    <xf numFmtId="0" fontId="0" fillId="0" borderId="56" xfId="0" applyBorder="1"/>
    <xf numFmtId="165" fontId="3" fillId="2" borderId="57" xfId="6" applyNumberFormat="1" applyBorder="1"/>
    <xf numFmtId="178" fontId="3" fillId="2" borderId="57" xfId="6" applyNumberFormat="1" applyBorder="1"/>
    <xf numFmtId="9" fontId="3" fillId="2" borderId="57" xfId="6" applyNumberFormat="1" applyBorder="1"/>
    <xf numFmtId="179" fontId="3" fillId="2" borderId="57" xfId="6" applyNumberFormat="1" applyBorder="1"/>
    <xf numFmtId="0" fontId="0" fillId="0" borderId="58" xfId="0" applyBorder="1"/>
    <xf numFmtId="0" fontId="0" fillId="0" borderId="59" xfId="0" applyBorder="1" applyAlignment="1">
      <alignment horizontal="right"/>
    </xf>
    <xf numFmtId="9" fontId="3" fillId="2" borderId="60" xfId="6" applyNumberFormat="1" applyBorder="1"/>
    <xf numFmtId="168" fontId="0" fillId="0" borderId="0" xfId="0" applyNumberFormat="1"/>
    <xf numFmtId="0" fontId="1" fillId="0" borderId="3" xfId="2" applyFont="1" applyFill="1" applyBorder="1" applyAlignment="1">
      <alignment horizontal="left" indent="1"/>
    </xf>
    <xf numFmtId="0" fontId="1" fillId="0" borderId="9" xfId="2" applyFont="1" applyFill="1" applyBorder="1" applyAlignment="1">
      <alignment horizontal="left" indent="1"/>
    </xf>
    <xf numFmtId="0" fontId="1" fillId="0" borderId="9" xfId="2" applyFont="1" applyFill="1" applyBorder="1"/>
    <xf numFmtId="165" fontId="1" fillId="0" borderId="9" xfId="2" applyNumberFormat="1" applyFont="1" applyFill="1" applyBorder="1" applyAlignment="1">
      <alignment horizontal="center"/>
    </xf>
    <xf numFmtId="176" fontId="1" fillId="0" borderId="45" xfId="6" applyNumberFormat="1" applyFont="1" applyFill="1" applyBorder="1" applyAlignment="1">
      <alignment horizontal="center"/>
    </xf>
    <xf numFmtId="0" fontId="3" fillId="2" borderId="3" xfId="2" applyBorder="1" applyProtection="1">
      <protection locked="0"/>
    </xf>
    <xf numFmtId="166" fontId="3" fillId="2" borderId="3" xfId="2" applyNumberFormat="1" applyBorder="1" applyAlignment="1" applyProtection="1">
      <alignment horizontal="center"/>
      <protection locked="0"/>
    </xf>
    <xf numFmtId="165" fontId="3" fillId="2" borderId="2" xfId="2" applyNumberFormat="1" applyAlignment="1" applyProtection="1">
      <alignment horizontal="center"/>
      <protection locked="0"/>
    </xf>
    <xf numFmtId="164" fontId="3" fillId="2" borderId="3" xfId="2" applyNumberFormat="1" applyBorder="1" applyAlignment="1" applyProtection="1">
      <alignment horizontal="center"/>
      <protection locked="0"/>
    </xf>
    <xf numFmtId="0" fontId="3" fillId="2" borderId="2" xfId="2" applyProtection="1">
      <protection locked="0"/>
    </xf>
    <xf numFmtId="166" fontId="3" fillId="2" borderId="2" xfId="2" applyNumberFormat="1" applyAlignment="1" applyProtection="1">
      <alignment horizontal="center"/>
      <protection locked="0"/>
    </xf>
    <xf numFmtId="164" fontId="3" fillId="2" borderId="2" xfId="2" applyNumberFormat="1" applyAlignment="1" applyProtection="1">
      <alignment horizontal="center"/>
      <protection locked="0"/>
    </xf>
    <xf numFmtId="166" fontId="3" fillId="2" borderId="9" xfId="2" applyNumberFormat="1" applyBorder="1" applyAlignment="1" applyProtection="1">
      <alignment horizontal="center"/>
      <protection locked="0"/>
    </xf>
    <xf numFmtId="164" fontId="3" fillId="2" borderId="10" xfId="2" applyNumberFormat="1" applyBorder="1" applyAlignment="1" applyProtection="1">
      <alignment horizontal="center"/>
      <protection locked="0"/>
    </xf>
    <xf numFmtId="49" fontId="3" fillId="2" borderId="11" xfId="2" applyNumberFormat="1" applyBorder="1" applyAlignment="1" applyProtection="1">
      <alignment horizontal="left"/>
      <protection locked="0"/>
    </xf>
    <xf numFmtId="49" fontId="3" fillId="2" borderId="12" xfId="2" applyNumberFormat="1" applyBorder="1" applyAlignment="1" applyProtection="1">
      <alignment horizontal="left"/>
      <protection locked="0"/>
    </xf>
    <xf numFmtId="49" fontId="3" fillId="2" borderId="13" xfId="2" applyNumberFormat="1" applyBorder="1" applyAlignment="1" applyProtection="1">
      <alignment horizontal="left"/>
      <protection locked="0"/>
    </xf>
    <xf numFmtId="169" fontId="12" fillId="0" borderId="0" xfId="0" applyNumberFormat="1" applyFont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2" borderId="6" xfId="2" applyFont="1" applyBorder="1" applyAlignment="1" applyProtection="1">
      <alignment horizontal="left" vertical="top" wrapText="1"/>
      <protection locked="0"/>
    </xf>
    <xf numFmtId="0" fontId="1" fillId="2" borderId="20" xfId="2" applyFont="1" applyBorder="1" applyAlignment="1" applyProtection="1">
      <alignment horizontal="left" vertical="top" wrapText="1"/>
      <protection locked="0"/>
    </xf>
    <xf numFmtId="0" fontId="1" fillId="2" borderId="21" xfId="2" applyFont="1" applyBorder="1" applyAlignment="1" applyProtection="1">
      <alignment horizontal="left" vertical="top" wrapText="1"/>
      <protection locked="0"/>
    </xf>
    <xf numFmtId="0" fontId="1" fillId="2" borderId="22" xfId="2" applyFont="1" applyBorder="1" applyAlignment="1" applyProtection="1">
      <alignment horizontal="left" vertical="top" wrapText="1"/>
      <protection locked="0"/>
    </xf>
    <xf numFmtId="0" fontId="1" fillId="2" borderId="0" xfId="2" applyFont="1" applyBorder="1" applyAlignment="1" applyProtection="1">
      <alignment horizontal="left" vertical="top" wrapText="1"/>
      <protection locked="0"/>
    </xf>
    <xf numFmtId="0" fontId="1" fillId="2" borderId="19" xfId="2" applyFont="1" applyBorder="1" applyAlignment="1" applyProtection="1">
      <alignment horizontal="left" vertical="top" wrapText="1"/>
      <protection locked="0"/>
    </xf>
    <xf numFmtId="0" fontId="1" fillId="2" borderId="23" xfId="2" applyFont="1" applyBorder="1" applyAlignment="1" applyProtection="1">
      <alignment horizontal="left" vertical="top" wrapText="1"/>
      <protection locked="0"/>
    </xf>
    <xf numFmtId="0" fontId="1" fillId="2" borderId="24" xfId="2" applyFont="1" applyBorder="1" applyAlignment="1" applyProtection="1">
      <alignment horizontal="left" vertical="top" wrapText="1"/>
      <protection locked="0"/>
    </xf>
    <xf numFmtId="0" fontId="1" fillId="2" borderId="25" xfId="2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 vertical="center" wrapText="1" indent="1"/>
    </xf>
    <xf numFmtId="0" fontId="2" fillId="0" borderId="37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9">
    <cellStyle name="Eingabe" xfId="2" builtinId="20"/>
    <cellStyle name="Eingabe 2" xfId="6" xr:uid="{7912230A-910C-4417-A82C-FD48B0234177}"/>
    <cellStyle name="Eingabe 3" xfId="7" xr:uid="{496EC656-035C-4E8F-9D70-7813881EE8B5}"/>
    <cellStyle name="Komma" xfId="5" builtinId="3"/>
    <cellStyle name="Link" xfId="4" builtinId="8"/>
    <cellStyle name="Prozent" xfId="3" builtinId="5"/>
    <cellStyle name="Standard" xfId="0" builtinId="0"/>
    <cellStyle name="Verknüpfte Zelle" xfId="8" builtinId="24"/>
    <cellStyle name="Währung" xfId="1" builtinId="4"/>
  </cellStyles>
  <dxfs count="0"/>
  <tableStyles count="0" defaultTableStyle="TableStyleMedium2" defaultPivotStyle="PivotStyleLight16"/>
  <colors>
    <mruColors>
      <color rgb="FF0099FF"/>
      <color rgb="FF59595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37</xdr:row>
      <xdr:rowOff>85725</xdr:rowOff>
    </xdr:from>
    <xdr:ext cx="9515474" cy="311496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A36D784-5DB0-4D98-93E3-CFEBD051D82E}"/>
            </a:ext>
          </a:extLst>
        </xdr:cNvPr>
        <xdr:cNvSpPr txBox="1"/>
      </xdr:nvSpPr>
      <xdr:spPr>
        <a:xfrm>
          <a:off x="9526" y="7219950"/>
          <a:ext cx="951547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400" b="1"/>
            <a:t>Schnittholz, Bauholz, Jagdeinrichtungen</a:t>
          </a:r>
          <a:r>
            <a:rPr lang="de-DE" sz="1400" b="1" baseline="0"/>
            <a:t> und vieles mehr auf </a:t>
          </a:r>
          <a:r>
            <a:rPr lang="de-DE" sz="1400" b="1" baseline="0">
              <a:solidFill>
                <a:schemeClr val="accent2">
                  <a:lumMod val="50000"/>
                </a:schemeClr>
              </a:solidFill>
            </a:rPr>
            <a:t>www.lärchenholz24.de </a:t>
          </a:r>
          <a:r>
            <a:rPr lang="de-DE" sz="1400" b="1" baseline="0">
              <a:solidFill>
                <a:schemeClr val="tx1"/>
              </a:solidFill>
            </a:rPr>
            <a:t>und auf </a:t>
          </a:r>
          <a:r>
            <a:rPr lang="de-DE" sz="1400" b="1" baseline="0">
              <a:solidFill>
                <a:schemeClr val="accent2">
                  <a:lumMod val="50000"/>
                </a:schemeClr>
              </a:solidFill>
            </a:rPr>
            <a:t>www.meinhochsitz.de</a:t>
          </a:r>
          <a:endParaRPr lang="de-DE" sz="14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oneCellAnchor>
  <xdr:twoCellAnchor editAs="oneCell">
    <xdr:from>
      <xdr:col>2</xdr:col>
      <xdr:colOff>0</xdr:colOff>
      <xdr:row>30</xdr:row>
      <xdr:rowOff>0</xdr:rowOff>
    </xdr:from>
    <xdr:to>
      <xdr:col>2</xdr:col>
      <xdr:colOff>274028</xdr:colOff>
      <xdr:row>31</xdr:row>
      <xdr:rowOff>106363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023D2E7-C05E-4550-8933-5E824C400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5753100"/>
          <a:ext cx="274028" cy="29686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11</xdr:col>
      <xdr:colOff>781050</xdr:colOff>
      <xdr:row>4</xdr:row>
      <xdr:rowOff>83127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622971C5-D2E7-4178-BFFB-FF003FE7F471}"/>
            </a:ext>
          </a:extLst>
        </xdr:cNvPr>
        <xdr:cNvCxnSpPr/>
      </xdr:nvCxnSpPr>
      <xdr:spPr>
        <a:xfrm flipV="1">
          <a:off x="0" y="828675"/>
          <a:ext cx="9515475" cy="16452"/>
        </a:xfrm>
        <a:prstGeom prst="line">
          <a:avLst/>
        </a:prstGeom>
        <a:ln w="25400">
          <a:solidFill>
            <a:srgbClr val="442D1C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533400</xdr:colOff>
      <xdr:row>0</xdr:row>
      <xdr:rowOff>48935</xdr:rowOff>
    </xdr:from>
    <xdr:to>
      <xdr:col>11</xdr:col>
      <xdr:colOff>742950</xdr:colOff>
      <xdr:row>3</xdr:row>
      <xdr:rowOff>103465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D16BC0F-AEA6-478E-B4A6-87839D985578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/>
      </xdr:blipFill>
      <xdr:spPr>
        <a:xfrm>
          <a:off x="8429625" y="48935"/>
          <a:ext cx="1047750" cy="626030"/>
        </a:xfrm>
        <a:prstGeom prst="rect">
          <a:avLst/>
        </a:prstGeom>
      </xdr:spPr>
    </xdr:pic>
    <xdr:clientData/>
  </xdr:twoCellAnchor>
  <xdr:twoCellAnchor>
    <xdr:from>
      <xdr:col>5</xdr:col>
      <xdr:colOff>638406</xdr:colOff>
      <xdr:row>1</xdr:row>
      <xdr:rowOff>19281</xdr:rowOff>
    </xdr:from>
    <xdr:to>
      <xdr:col>8</xdr:col>
      <xdr:colOff>231198</xdr:colOff>
      <xdr:row>4</xdr:row>
      <xdr:rowOff>9666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5CDB0672-4754-4917-B789-B723EDED8D21}"/>
            </a:ext>
          </a:extLst>
        </xdr:cNvPr>
        <xdr:cNvSpPr txBox="1"/>
      </xdr:nvSpPr>
      <xdr:spPr>
        <a:xfrm>
          <a:off x="4496031" y="209781"/>
          <a:ext cx="1954992" cy="561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342900" lvl="0" indent="-342900">
            <a:spcAft>
              <a:spcPts val="0"/>
            </a:spcAft>
            <a:buFont typeface="Wingdings" panose="05000000000000000000" pitchFamily="2" charset="2"/>
            <a:buChar char=""/>
            <a:tabLst>
              <a:tab pos="457200" algn="l"/>
            </a:tabLst>
          </a:pPr>
          <a:r>
            <a:rPr lang="de-DE" sz="1000" b="1">
              <a:solidFill>
                <a:srgbClr val="442D1C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Schnittholz Lä/Dgl</a:t>
          </a:r>
          <a:endParaRPr lang="de-DE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Wingdings" panose="05000000000000000000" pitchFamily="2" charset="2"/>
            <a:buChar char=""/>
            <a:tabLst>
              <a:tab pos="457200" algn="l"/>
            </a:tabLst>
          </a:pPr>
          <a:r>
            <a:rPr lang="de-DE" sz="1000" b="1">
              <a:solidFill>
                <a:srgbClr val="442D1C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Jagdeinrichtungen</a:t>
          </a:r>
          <a:endParaRPr lang="de-DE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342900" lvl="0" indent="-342900">
            <a:spcAft>
              <a:spcPts val="0"/>
            </a:spcAft>
            <a:buFont typeface="Wingdings" panose="05000000000000000000" pitchFamily="2" charset="2"/>
            <a:buChar char=""/>
            <a:tabLst>
              <a:tab pos="457200" algn="l"/>
            </a:tabLst>
          </a:pPr>
          <a:r>
            <a:rPr lang="de-DE" sz="1000" b="1">
              <a:solidFill>
                <a:srgbClr val="442D1C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Holz für draußen</a:t>
          </a:r>
          <a:endParaRPr lang="de-DE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28575</xdr:colOff>
      <xdr:row>2</xdr:row>
      <xdr:rowOff>26670</xdr:rowOff>
    </xdr:from>
    <xdr:to>
      <xdr:col>4</xdr:col>
      <xdr:colOff>38100</xdr:colOff>
      <xdr:row>4</xdr:row>
      <xdr:rowOff>119322</xdr:rowOff>
    </xdr:to>
    <xdr:sp macro="" textlink="">
      <xdr:nvSpPr>
        <xdr:cNvPr id="7" name="Textfeld 2">
          <a:extLst>
            <a:ext uri="{FF2B5EF4-FFF2-40B4-BE49-F238E27FC236}">
              <a16:creationId xmlns:a16="http://schemas.microsoft.com/office/drawing/2014/main" id="{E8F98A67-E54C-4119-87E4-601409750976}"/>
            </a:ext>
          </a:extLst>
        </xdr:cNvPr>
        <xdr:cNvSpPr txBox="1">
          <a:spLocks noChangeArrowheads="1"/>
        </xdr:cNvSpPr>
      </xdr:nvSpPr>
      <xdr:spPr bwMode="auto">
        <a:xfrm>
          <a:off x="333375" y="407670"/>
          <a:ext cx="2800350" cy="473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de-DE" sz="1600">
              <a:solidFill>
                <a:srgbClr val="442D1C"/>
              </a:solidFill>
              <a:effectLst/>
              <a:latin typeface="Arial Black" panose="020B0A04020102020204" pitchFamily="34" charset="0"/>
              <a:ea typeface="Times New Roman" panose="02020603050405020304" pitchFamily="18" charset="0"/>
              <a:cs typeface="Aharoni" panose="02010803020104030203" pitchFamily="2" charset="-79"/>
            </a:rPr>
            <a:t>… natürlich mit Holz</a:t>
          </a:r>
          <a:endParaRPr lang="de-DE" sz="8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25</xdr:col>
      <xdr:colOff>590549</xdr:colOff>
      <xdr:row>1</xdr:row>
      <xdr:rowOff>47624</xdr:rowOff>
    </xdr:from>
    <xdr:to>
      <xdr:col>28</xdr:col>
      <xdr:colOff>409574</xdr:colOff>
      <xdr:row>5</xdr:row>
      <xdr:rowOff>247649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1809E49-A286-4910-A508-CE163C808CA0}"/>
            </a:ext>
          </a:extLst>
        </xdr:cNvPr>
        <xdr:cNvSpPr/>
      </xdr:nvSpPr>
      <xdr:spPr>
        <a:xfrm>
          <a:off x="10134599" y="238124"/>
          <a:ext cx="2105025" cy="9620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8</xdr:col>
      <xdr:colOff>809625</xdr:colOff>
      <xdr:row>24</xdr:row>
      <xdr:rowOff>123824</xdr:rowOff>
    </xdr:from>
    <xdr:ext cx="2438400" cy="700385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7A945A26-234F-4AE1-B177-FAF847402CCC}"/>
            </a:ext>
          </a:extLst>
        </xdr:cNvPr>
        <xdr:cNvSpPr txBox="1"/>
      </xdr:nvSpPr>
      <xdr:spPr>
        <a:xfrm>
          <a:off x="7029450" y="4962524"/>
          <a:ext cx="2438400" cy="700385"/>
        </a:xfrm>
        <a:prstGeom prst="rect">
          <a:avLst/>
        </a:prstGeom>
        <a:gradFill>
          <a:gsLst>
            <a:gs pos="0">
              <a:schemeClr val="accent2"/>
            </a:gs>
            <a:gs pos="24000">
              <a:schemeClr val="accent2">
                <a:satMod val="110000"/>
                <a:lumMod val="100000"/>
                <a:shade val="100000"/>
              </a:schemeClr>
            </a:gs>
            <a:gs pos="100000">
              <a:schemeClr val="accent2">
                <a:lumMod val="50000"/>
              </a:schemeClr>
            </a:gs>
          </a:gsLst>
        </a:gra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200">
              <a:latin typeface="Arial" panose="020B0604020202020204" pitchFamily="34" charset="0"/>
              <a:cs typeface="Arial" panose="020B0604020202020204" pitchFamily="34" charset="0"/>
            </a:rPr>
            <a:t>Bitte senden Sie die</a:t>
          </a: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 Liste an:</a:t>
          </a:r>
        </a:p>
        <a:p>
          <a:pPr>
            <a:spcBef>
              <a:spcPts val="600"/>
            </a:spcBef>
          </a:pPr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E-Mail:   info@laerchenholz24.de</a:t>
          </a:r>
        </a:p>
        <a:p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Fax:       04321-56 444 95</a:t>
          </a:r>
          <a:endParaRPr lang="de-DE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438150</xdr:colOff>
      <xdr:row>0</xdr:row>
      <xdr:rowOff>104775</xdr:rowOff>
    </xdr:from>
    <xdr:to>
      <xdr:col>14</xdr:col>
      <xdr:colOff>619800</xdr:colOff>
      <xdr:row>0</xdr:row>
      <xdr:rowOff>314325</xdr:rowOff>
    </xdr:to>
    <xdr:sp macro="" textlink="">
      <xdr:nvSpPr>
        <xdr:cNvPr id="2" name="Rechteck: abgerundete Ecken 28">
          <a:extLst>
            <a:ext uri="{FF2B5EF4-FFF2-40B4-BE49-F238E27FC236}">
              <a16:creationId xmlns:a16="http://schemas.microsoft.com/office/drawing/2014/main" id="{B3DC8D49-C833-4506-9386-985DD99ED250}"/>
            </a:ext>
          </a:extLst>
        </xdr:cNvPr>
        <xdr:cNvSpPr/>
      </xdr:nvSpPr>
      <xdr:spPr>
        <a:xfrm>
          <a:off x="11239500" y="104775"/>
          <a:ext cx="896025" cy="209550"/>
        </a:xfrm>
        <a:prstGeom prst="roundRect">
          <a:avLst/>
        </a:prstGeom>
        <a:solidFill>
          <a:schemeClr val="bg1">
            <a:lumMod val="85000"/>
          </a:schemeClr>
        </a:solidFill>
        <a:ln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de-DE" sz="1050" b="1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rPr>
            <a:t>Aufträge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721A-EAA0-4988-A663-CEFEEA61BE1C}">
  <sheetPr>
    <pageSetUpPr fitToPage="1"/>
  </sheetPr>
  <dimension ref="A1:AB41"/>
  <sheetViews>
    <sheetView tabSelected="1" workbookViewId="0">
      <selection activeCell="B23" sqref="B23:H26"/>
    </sheetView>
  </sheetViews>
  <sheetFormatPr baseColWidth="10" defaultColWidth="10.7109375" defaultRowHeight="15" x14ac:dyDescent="0.25"/>
  <cols>
    <col min="1" max="1" width="4.5703125" style="1" customWidth="1"/>
    <col min="2" max="2" width="17.28515625" customWidth="1"/>
    <col min="3" max="3" width="13.28515625" customWidth="1"/>
    <col min="4" max="4" width="11.28515625" style="1" customWidth="1"/>
    <col min="5" max="7" width="11.42578125" style="1"/>
    <col min="8" max="9" width="12.5703125" style="1" customWidth="1"/>
    <col min="10" max="11" width="12.5703125" style="2" customWidth="1"/>
    <col min="12" max="12" width="12.140625" style="2" customWidth="1"/>
    <col min="13" max="13" width="12.7109375" hidden="1" customWidth="1"/>
    <col min="14" max="20" width="11.42578125" hidden="1" customWidth="1"/>
    <col min="21" max="22" width="12.7109375" hidden="1" customWidth="1"/>
    <col min="23" max="25" width="11.42578125" hidden="1" customWidth="1"/>
    <col min="26" max="26" width="3.85546875" customWidth="1"/>
    <col min="27" max="27" width="12.5703125" customWidth="1"/>
  </cols>
  <sheetData>
    <row r="1" spans="1:28" x14ac:dyDescent="0.25">
      <c r="A1" s="157">
        <v>45011</v>
      </c>
      <c r="B1" s="157"/>
      <c r="I1" s="16"/>
      <c r="J1" s="16"/>
    </row>
    <row r="2" spans="1:28" x14ac:dyDescent="0.25">
      <c r="I2" s="16"/>
      <c r="J2" s="17"/>
    </row>
    <row r="3" spans="1:28" x14ac:dyDescent="0.25">
      <c r="I3" s="16"/>
      <c r="J3" s="16"/>
      <c r="AA3" s="120" t="s">
        <v>96</v>
      </c>
    </row>
    <row r="4" spans="1:28" x14ac:dyDescent="0.25">
      <c r="I4" s="16"/>
      <c r="J4" s="16"/>
    </row>
    <row r="5" spans="1:28" ht="15.75" thickBot="1" x14ac:dyDescent="0.3">
      <c r="I5" s="16"/>
      <c r="J5" s="16"/>
      <c r="AA5" s="10"/>
      <c r="AB5" s="121" t="s">
        <v>97</v>
      </c>
    </row>
    <row r="6" spans="1:28" ht="22.5" thickTop="1" thickBot="1" x14ac:dyDescent="0.3">
      <c r="A6" s="158" t="s">
        <v>45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60"/>
    </row>
    <row r="7" spans="1:28" ht="21.75" thickTop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P7" t="s">
        <v>33</v>
      </c>
      <c r="Q7" t="s">
        <v>33</v>
      </c>
      <c r="R7" t="s">
        <v>31</v>
      </c>
      <c r="S7" t="s">
        <v>31</v>
      </c>
      <c r="U7" t="s">
        <v>33</v>
      </c>
      <c r="V7" t="s">
        <v>31</v>
      </c>
    </row>
    <row r="8" spans="1:28" ht="15.75" thickBot="1" x14ac:dyDescent="0.3">
      <c r="A8" s="24" t="s">
        <v>8</v>
      </c>
      <c r="B8" s="25" t="s">
        <v>7</v>
      </c>
      <c r="C8" s="25" t="s">
        <v>22</v>
      </c>
      <c r="D8" s="25" t="s">
        <v>32</v>
      </c>
      <c r="E8" s="25" t="s">
        <v>2</v>
      </c>
      <c r="F8" s="26" t="s">
        <v>39</v>
      </c>
      <c r="G8" s="26" t="s">
        <v>40</v>
      </c>
      <c r="H8" s="26" t="s">
        <v>46</v>
      </c>
      <c r="I8" s="24" t="s">
        <v>15</v>
      </c>
      <c r="J8" s="25" t="s">
        <v>104</v>
      </c>
      <c r="K8" s="25" t="s">
        <v>16</v>
      </c>
      <c r="L8" s="27" t="s">
        <v>103</v>
      </c>
      <c r="M8" s="117" t="s">
        <v>106</v>
      </c>
      <c r="N8" s="118" t="s">
        <v>87</v>
      </c>
      <c r="O8" s="119" t="s">
        <v>83</v>
      </c>
      <c r="P8" s="119" t="s">
        <v>94</v>
      </c>
      <c r="Q8" s="119" t="s">
        <v>95</v>
      </c>
      <c r="R8" s="119" t="s">
        <v>94</v>
      </c>
      <c r="S8" s="119" t="s">
        <v>95</v>
      </c>
      <c r="T8" s="119" t="s">
        <v>84</v>
      </c>
      <c r="U8" s="119" t="s">
        <v>85</v>
      </c>
      <c r="V8" s="119" t="s">
        <v>85</v>
      </c>
      <c r="AA8" s="124" t="s">
        <v>105</v>
      </c>
    </row>
    <row r="9" spans="1:28" x14ac:dyDescent="0.25">
      <c r="A9" s="22" t="s">
        <v>9</v>
      </c>
      <c r="B9" s="140" t="s">
        <v>49</v>
      </c>
      <c r="C9" s="145"/>
      <c r="D9" s="145"/>
      <c r="E9" s="146"/>
      <c r="F9" s="147"/>
      <c r="G9" s="147"/>
      <c r="H9" s="148"/>
      <c r="I9" s="36" t="str">
        <f>IF(Q9=0,"",IF(D9="gehobelt",S9,Q9))</f>
        <v/>
      </c>
      <c r="J9" s="37" t="str">
        <f>IFERROR(IF(D9="gehobelt",V9/1.19,U9/1.19),"")</f>
        <v/>
      </c>
      <c r="K9" s="37" t="str">
        <f>IFERROR(IF(E9=0,"",J9/G9*1000),"")</f>
        <v/>
      </c>
      <c r="L9" s="38" t="str">
        <f>IFERROR(I9*E9,"")</f>
        <v/>
      </c>
      <c r="M9" s="127">
        <f>(F9*G9*H9/100000000)</f>
        <v>0</v>
      </c>
      <c r="N9" s="86">
        <f>F9*G9</f>
        <v>0</v>
      </c>
      <c r="O9" s="87"/>
      <c r="P9" s="88">
        <f>IFERROR(IF($O$33="unbesäumt",$O$30,((((IF(G9&gt;200,(IF(AND(F9=50,G9=80),M9*$O$27,IF(AND(F9=60,G9=80),M9*$O$27,IF(AND(F9=40,G9=60),M9*$O$27,IF(F9&lt;$O$24+1,M9*$O$25,M9*$O$23)))))*(1+$O$26),IF(AND(F9=50,G9=80),M9*$O$27,IF(AND(F9=60,G9=80),M9*$O$27,IF(AND(F9=40,G9=60),M9*$O$27,IF(F9&lt;$O$24+1,M9*$O$25,M9*$O$23))))))/(1-$O$29))+(M9*$O$28))/M9)),0)</f>
        <v>0</v>
      </c>
      <c r="Q9" s="89">
        <f>(F9*G9*H9/100000000)*P9</f>
        <v>0</v>
      </c>
      <c r="R9" s="88">
        <f>IF(F9&lt;($O$24-6),P9*(1+$O$31),P9*(1+$O$32))</f>
        <v>0</v>
      </c>
      <c r="S9" s="88">
        <f>(F9*G9*H9/100000000)*R9</f>
        <v>0</v>
      </c>
      <c r="T9" s="90" t="e">
        <f>(S9-Q9)/Q9</f>
        <v>#DIV/0!</v>
      </c>
      <c r="U9" s="88" t="e">
        <f>Q9/H9*100*1.19</f>
        <v>#DIV/0!</v>
      </c>
      <c r="V9" s="88" t="e">
        <f>S9/H9*100*1.19</f>
        <v>#DIV/0!</v>
      </c>
      <c r="AA9" s="125" t="str">
        <f>IFERROR(J9*1.19,"")</f>
        <v/>
      </c>
    </row>
    <row r="10" spans="1:28" x14ac:dyDescent="0.25">
      <c r="A10" s="22" t="s">
        <v>10</v>
      </c>
      <c r="B10" s="140" t="s">
        <v>49</v>
      </c>
      <c r="C10" s="145"/>
      <c r="D10" s="145"/>
      <c r="E10" s="146"/>
      <c r="F10" s="147"/>
      <c r="G10" s="147"/>
      <c r="H10" s="148"/>
      <c r="I10" s="36" t="str">
        <f t="shared" ref="I10:I19" si="0">IF(Q10=0,"",IF(D10="gehobelt",S10,Q10))</f>
        <v/>
      </c>
      <c r="J10" s="37" t="str">
        <f t="shared" ref="J10:J19" si="1">IFERROR(IF(D10="gehobelt",V10/1.19,U10/1.19),"")</f>
        <v/>
      </c>
      <c r="K10" s="37" t="str">
        <f t="shared" ref="K10:K19" si="2">IFERROR(IF(E10=0,"",J10/G10*1000),"")</f>
        <v/>
      </c>
      <c r="L10" s="38" t="str">
        <f t="shared" ref="L10:L19" si="3">IFERROR(I10*E10,"")</f>
        <v/>
      </c>
      <c r="M10" s="127">
        <f t="shared" ref="M10:M19" si="4">(F10*G10*H10/100000000)</f>
        <v>0</v>
      </c>
      <c r="N10" s="86">
        <f t="shared" ref="N10:N17" si="5">F10*G10</f>
        <v>0</v>
      </c>
      <c r="O10" s="87"/>
      <c r="P10" s="88">
        <f t="shared" ref="P10:P18" si="6">IFERROR(IF($O$33="unbesäumt",$O$30,((((IF(G10&gt;200,(IF(AND(F10=50,G10=80),M10*$O$27,IF(AND(F10=60,G10=80),M10*$O$27,IF(AND(F10=40,G10=60),M10*$O$27,IF(F10&lt;$O$24+1,M10*$O$25,M10*$O$23)))))*(1+$O$26),IF(AND(F10=50,G10=80),M10*$O$27,IF(AND(F10=60,G10=80),M10*$O$27,IF(AND(F10=40,G10=60),M10*$O$27,IF(F10&lt;$O$24+1,M10*$O$25,M10*$O$23))))))/(1-$O$29))+(M10*$O$28))/M10)),0)</f>
        <v>0</v>
      </c>
      <c r="Q10" s="89">
        <f t="shared" ref="Q10:Q17" si="7">(F10*G10*H10/100000000)*P10</f>
        <v>0</v>
      </c>
      <c r="R10" s="88">
        <f t="shared" ref="R10:R19" si="8">IF(F10&lt;($O$24-6),P10*(1+$O$31),P10*(1+$O$32))</f>
        <v>0</v>
      </c>
      <c r="S10" s="88">
        <f t="shared" ref="S10:S19" si="9">(F10*G10*H10/100000000)*R10</f>
        <v>0</v>
      </c>
      <c r="T10" s="90" t="e">
        <f t="shared" ref="T10:T17" si="10">(S10-Q10)/Q10</f>
        <v>#DIV/0!</v>
      </c>
      <c r="U10" s="88" t="e">
        <f t="shared" ref="U10:U17" si="11">Q10/H10*100*1.19</f>
        <v>#DIV/0!</v>
      </c>
      <c r="V10" s="88" t="e">
        <f t="shared" ref="V10:V17" si="12">S10/H10*100*1.19</f>
        <v>#DIV/0!</v>
      </c>
      <c r="AA10" s="125" t="str">
        <f t="shared" ref="AA10:AA19" si="13">IFERROR(J10*1.19,"")</f>
        <v/>
      </c>
    </row>
    <row r="11" spans="1:28" x14ac:dyDescent="0.25">
      <c r="A11" s="22" t="s">
        <v>11</v>
      </c>
      <c r="B11" s="140" t="s">
        <v>49</v>
      </c>
      <c r="C11" s="149"/>
      <c r="D11" s="149"/>
      <c r="E11" s="150"/>
      <c r="F11" s="147"/>
      <c r="G11" s="147"/>
      <c r="H11" s="151"/>
      <c r="I11" s="36" t="str">
        <f t="shared" si="0"/>
        <v/>
      </c>
      <c r="J11" s="37" t="str">
        <f t="shared" si="1"/>
        <v/>
      </c>
      <c r="K11" s="37" t="str">
        <f t="shared" si="2"/>
        <v/>
      </c>
      <c r="L11" s="38" t="str">
        <f t="shared" si="3"/>
        <v/>
      </c>
      <c r="M11" s="127">
        <f t="shared" si="4"/>
        <v>0</v>
      </c>
      <c r="N11" s="86">
        <f t="shared" si="5"/>
        <v>0</v>
      </c>
      <c r="O11" s="87"/>
      <c r="P11" s="88">
        <f t="shared" si="6"/>
        <v>0</v>
      </c>
      <c r="Q11" s="89">
        <f t="shared" si="7"/>
        <v>0</v>
      </c>
      <c r="R11" s="88">
        <f t="shared" si="8"/>
        <v>0</v>
      </c>
      <c r="S11" s="88">
        <f t="shared" si="9"/>
        <v>0</v>
      </c>
      <c r="T11" s="90" t="e">
        <f t="shared" si="10"/>
        <v>#DIV/0!</v>
      </c>
      <c r="U11" s="88" t="e">
        <f t="shared" si="11"/>
        <v>#DIV/0!</v>
      </c>
      <c r="V11" s="88" t="e">
        <f t="shared" si="12"/>
        <v>#DIV/0!</v>
      </c>
      <c r="AA11" s="125" t="str">
        <f t="shared" si="13"/>
        <v/>
      </c>
    </row>
    <row r="12" spans="1:28" x14ac:dyDescent="0.25">
      <c r="A12" s="22" t="s">
        <v>12</v>
      </c>
      <c r="B12" s="140" t="s">
        <v>49</v>
      </c>
      <c r="C12" s="149"/>
      <c r="D12" s="149"/>
      <c r="E12" s="150"/>
      <c r="F12" s="147"/>
      <c r="G12" s="147"/>
      <c r="H12" s="151"/>
      <c r="I12" s="36" t="str">
        <f t="shared" si="0"/>
        <v/>
      </c>
      <c r="J12" s="37" t="str">
        <f t="shared" si="1"/>
        <v/>
      </c>
      <c r="K12" s="37" t="str">
        <f t="shared" si="2"/>
        <v/>
      </c>
      <c r="L12" s="38" t="str">
        <f t="shared" si="3"/>
        <v/>
      </c>
      <c r="M12" s="127">
        <f t="shared" si="4"/>
        <v>0</v>
      </c>
      <c r="N12" s="86">
        <f t="shared" si="5"/>
        <v>0</v>
      </c>
      <c r="O12" s="87"/>
      <c r="P12" s="88">
        <f t="shared" si="6"/>
        <v>0</v>
      </c>
      <c r="Q12" s="89">
        <f t="shared" si="7"/>
        <v>0</v>
      </c>
      <c r="R12" s="88">
        <f t="shared" si="8"/>
        <v>0</v>
      </c>
      <c r="S12" s="88">
        <f t="shared" si="9"/>
        <v>0</v>
      </c>
      <c r="T12" s="90" t="e">
        <f t="shared" si="10"/>
        <v>#DIV/0!</v>
      </c>
      <c r="U12" s="88" t="e">
        <f t="shared" si="11"/>
        <v>#DIV/0!</v>
      </c>
      <c r="V12" s="88" t="e">
        <f t="shared" si="12"/>
        <v>#DIV/0!</v>
      </c>
      <c r="AA12" s="125" t="str">
        <f t="shared" si="13"/>
        <v/>
      </c>
    </row>
    <row r="13" spans="1:28" x14ac:dyDescent="0.25">
      <c r="A13" s="22" t="s">
        <v>13</v>
      </c>
      <c r="B13" s="140" t="s">
        <v>49</v>
      </c>
      <c r="C13" s="149"/>
      <c r="D13" s="149"/>
      <c r="E13" s="150"/>
      <c r="F13" s="147"/>
      <c r="G13" s="147"/>
      <c r="H13" s="151"/>
      <c r="I13" s="36" t="str">
        <f t="shared" si="0"/>
        <v/>
      </c>
      <c r="J13" s="37" t="str">
        <f t="shared" si="1"/>
        <v/>
      </c>
      <c r="K13" s="37" t="str">
        <f t="shared" si="2"/>
        <v/>
      </c>
      <c r="L13" s="38" t="str">
        <f t="shared" si="3"/>
        <v/>
      </c>
      <c r="M13" s="127">
        <f t="shared" si="4"/>
        <v>0</v>
      </c>
      <c r="N13" s="86">
        <f t="shared" si="5"/>
        <v>0</v>
      </c>
      <c r="O13" s="87"/>
      <c r="P13" s="88">
        <f t="shared" si="6"/>
        <v>0</v>
      </c>
      <c r="Q13" s="89">
        <f t="shared" si="7"/>
        <v>0</v>
      </c>
      <c r="R13" s="88">
        <f t="shared" si="8"/>
        <v>0</v>
      </c>
      <c r="S13" s="88">
        <f t="shared" si="9"/>
        <v>0</v>
      </c>
      <c r="T13" s="90" t="e">
        <f t="shared" si="10"/>
        <v>#DIV/0!</v>
      </c>
      <c r="U13" s="88" t="e">
        <f t="shared" si="11"/>
        <v>#DIV/0!</v>
      </c>
      <c r="V13" s="88" t="e">
        <f t="shared" si="12"/>
        <v>#DIV/0!</v>
      </c>
      <c r="AA13" s="125" t="str">
        <f t="shared" si="13"/>
        <v/>
      </c>
    </row>
    <row r="14" spans="1:28" x14ac:dyDescent="0.25">
      <c r="A14" s="22" t="s">
        <v>14</v>
      </c>
      <c r="B14" s="140" t="s">
        <v>49</v>
      </c>
      <c r="C14" s="149"/>
      <c r="D14" s="149"/>
      <c r="E14" s="150"/>
      <c r="F14" s="147"/>
      <c r="G14" s="147"/>
      <c r="H14" s="151"/>
      <c r="I14" s="36" t="str">
        <f t="shared" si="0"/>
        <v/>
      </c>
      <c r="J14" s="37" t="str">
        <f t="shared" si="1"/>
        <v/>
      </c>
      <c r="K14" s="37" t="str">
        <f t="shared" si="2"/>
        <v/>
      </c>
      <c r="L14" s="38" t="str">
        <f t="shared" si="3"/>
        <v/>
      </c>
      <c r="M14" s="127">
        <f t="shared" si="4"/>
        <v>0</v>
      </c>
      <c r="N14" s="86">
        <f t="shared" si="5"/>
        <v>0</v>
      </c>
      <c r="O14" s="87"/>
      <c r="P14" s="88">
        <f t="shared" si="6"/>
        <v>0</v>
      </c>
      <c r="Q14" s="89">
        <f t="shared" si="7"/>
        <v>0</v>
      </c>
      <c r="R14" s="88">
        <f t="shared" si="8"/>
        <v>0</v>
      </c>
      <c r="S14" s="88">
        <f t="shared" si="9"/>
        <v>0</v>
      </c>
      <c r="T14" s="90" t="e">
        <f t="shared" si="10"/>
        <v>#DIV/0!</v>
      </c>
      <c r="U14" s="88" t="e">
        <f t="shared" si="11"/>
        <v>#DIV/0!</v>
      </c>
      <c r="V14" s="88" t="e">
        <f t="shared" si="12"/>
        <v>#DIV/0!</v>
      </c>
      <c r="AA14" s="125" t="str">
        <f t="shared" si="13"/>
        <v/>
      </c>
    </row>
    <row r="15" spans="1:28" x14ac:dyDescent="0.25">
      <c r="A15" s="22" t="s">
        <v>18</v>
      </c>
      <c r="B15" s="140" t="s">
        <v>49</v>
      </c>
      <c r="C15" s="149"/>
      <c r="D15" s="149"/>
      <c r="E15" s="150"/>
      <c r="F15" s="147"/>
      <c r="G15" s="147"/>
      <c r="H15" s="151"/>
      <c r="I15" s="36" t="str">
        <f t="shared" si="0"/>
        <v/>
      </c>
      <c r="J15" s="37" t="str">
        <f t="shared" si="1"/>
        <v/>
      </c>
      <c r="K15" s="37" t="str">
        <f t="shared" si="2"/>
        <v/>
      </c>
      <c r="L15" s="38" t="str">
        <f t="shared" si="3"/>
        <v/>
      </c>
      <c r="M15" s="127">
        <f t="shared" si="4"/>
        <v>0</v>
      </c>
      <c r="N15" s="86">
        <f t="shared" si="5"/>
        <v>0</v>
      </c>
      <c r="O15" s="87"/>
      <c r="P15" s="88">
        <f t="shared" si="6"/>
        <v>0</v>
      </c>
      <c r="Q15" s="89">
        <f t="shared" si="7"/>
        <v>0</v>
      </c>
      <c r="R15" s="88">
        <f t="shared" si="8"/>
        <v>0</v>
      </c>
      <c r="S15" s="88">
        <f t="shared" si="9"/>
        <v>0</v>
      </c>
      <c r="T15" s="90" t="e">
        <f t="shared" si="10"/>
        <v>#DIV/0!</v>
      </c>
      <c r="U15" s="88" t="e">
        <f t="shared" si="11"/>
        <v>#DIV/0!</v>
      </c>
      <c r="V15" s="88" t="e">
        <f t="shared" si="12"/>
        <v>#DIV/0!</v>
      </c>
      <c r="AA15" s="125" t="str">
        <f t="shared" si="13"/>
        <v/>
      </c>
    </row>
    <row r="16" spans="1:28" x14ac:dyDescent="0.25">
      <c r="A16" s="22" t="s">
        <v>19</v>
      </c>
      <c r="B16" s="140" t="s">
        <v>49</v>
      </c>
      <c r="C16" s="149"/>
      <c r="D16" s="149"/>
      <c r="E16" s="150"/>
      <c r="F16" s="147"/>
      <c r="G16" s="147"/>
      <c r="H16" s="151"/>
      <c r="I16" s="36" t="str">
        <f t="shared" si="0"/>
        <v/>
      </c>
      <c r="J16" s="37" t="str">
        <f t="shared" si="1"/>
        <v/>
      </c>
      <c r="K16" s="37" t="str">
        <f t="shared" si="2"/>
        <v/>
      </c>
      <c r="L16" s="38" t="str">
        <f t="shared" si="3"/>
        <v/>
      </c>
      <c r="M16" s="127">
        <f t="shared" si="4"/>
        <v>0</v>
      </c>
      <c r="N16" s="86">
        <f t="shared" si="5"/>
        <v>0</v>
      </c>
      <c r="O16" s="87"/>
      <c r="P16" s="88">
        <f t="shared" si="6"/>
        <v>0</v>
      </c>
      <c r="Q16" s="89">
        <f t="shared" si="7"/>
        <v>0</v>
      </c>
      <c r="R16" s="88">
        <f t="shared" si="8"/>
        <v>0</v>
      </c>
      <c r="S16" s="88">
        <f t="shared" si="9"/>
        <v>0</v>
      </c>
      <c r="T16" s="90" t="e">
        <f t="shared" si="10"/>
        <v>#DIV/0!</v>
      </c>
      <c r="U16" s="88" t="e">
        <f t="shared" si="11"/>
        <v>#DIV/0!</v>
      </c>
      <c r="V16" s="88" t="e">
        <f t="shared" si="12"/>
        <v>#DIV/0!</v>
      </c>
      <c r="AA16" s="125" t="str">
        <f t="shared" si="13"/>
        <v/>
      </c>
    </row>
    <row r="17" spans="1:27" x14ac:dyDescent="0.25">
      <c r="A17" s="22" t="s">
        <v>20</v>
      </c>
      <c r="B17" s="140" t="s">
        <v>49</v>
      </c>
      <c r="C17" s="149"/>
      <c r="D17" s="149"/>
      <c r="E17" s="150"/>
      <c r="F17" s="147"/>
      <c r="G17" s="147"/>
      <c r="H17" s="151"/>
      <c r="I17" s="36" t="str">
        <f t="shared" si="0"/>
        <v/>
      </c>
      <c r="J17" s="37" t="str">
        <f t="shared" si="1"/>
        <v/>
      </c>
      <c r="K17" s="37" t="str">
        <f t="shared" si="2"/>
        <v/>
      </c>
      <c r="L17" s="38" t="str">
        <f t="shared" si="3"/>
        <v/>
      </c>
      <c r="M17" s="127">
        <f t="shared" si="4"/>
        <v>0</v>
      </c>
      <c r="N17" s="86">
        <f t="shared" si="5"/>
        <v>0</v>
      </c>
      <c r="O17" s="87"/>
      <c r="P17" s="88">
        <f t="shared" si="6"/>
        <v>0</v>
      </c>
      <c r="Q17" s="89">
        <f t="shared" si="7"/>
        <v>0</v>
      </c>
      <c r="R17" s="88">
        <f t="shared" si="8"/>
        <v>0</v>
      </c>
      <c r="S17" s="88">
        <f t="shared" si="9"/>
        <v>0</v>
      </c>
      <c r="T17" s="90" t="e">
        <f t="shared" si="10"/>
        <v>#DIV/0!</v>
      </c>
      <c r="U17" s="88" t="e">
        <f t="shared" si="11"/>
        <v>#DIV/0!</v>
      </c>
      <c r="V17" s="88" t="e">
        <f t="shared" si="12"/>
        <v>#DIV/0!</v>
      </c>
      <c r="AA17" s="125" t="str">
        <f t="shared" si="13"/>
        <v/>
      </c>
    </row>
    <row r="18" spans="1:27" x14ac:dyDescent="0.25">
      <c r="A18" s="22" t="s">
        <v>21</v>
      </c>
      <c r="B18" s="140" t="s">
        <v>49</v>
      </c>
      <c r="C18" s="149"/>
      <c r="D18" s="149"/>
      <c r="E18" s="150"/>
      <c r="F18" s="147"/>
      <c r="G18" s="147"/>
      <c r="H18" s="151"/>
      <c r="I18" s="36"/>
      <c r="J18" s="37"/>
      <c r="K18" s="37"/>
      <c r="L18" s="38"/>
      <c r="M18" s="127">
        <f t="shared" si="4"/>
        <v>0</v>
      </c>
      <c r="N18" s="86">
        <f t="shared" ref="N18:N19" si="14">F18*G18</f>
        <v>0</v>
      </c>
      <c r="O18" s="87"/>
      <c r="P18" s="88">
        <f t="shared" si="6"/>
        <v>0</v>
      </c>
      <c r="Q18" s="89">
        <f t="shared" ref="Q18:Q19" si="15">(F18*G18*H18/100000000)*P18</f>
        <v>0</v>
      </c>
      <c r="R18" s="88">
        <f t="shared" si="8"/>
        <v>0</v>
      </c>
      <c r="S18" s="88">
        <f t="shared" si="9"/>
        <v>0</v>
      </c>
      <c r="T18" s="90" t="e">
        <f t="shared" ref="T18:T19" si="16">(S18-Q18)/Q18</f>
        <v>#DIV/0!</v>
      </c>
      <c r="U18" s="88" t="e">
        <f t="shared" ref="U18:U19" si="17">Q18/H18*100*1.19</f>
        <v>#DIV/0!</v>
      </c>
      <c r="V18" s="88" t="e">
        <f t="shared" ref="V18:V19" si="18">S18/H18*100*1.19</f>
        <v>#DIV/0!</v>
      </c>
      <c r="AA18" s="125"/>
    </row>
    <row r="19" spans="1:27" ht="15.75" thickBot="1" x14ac:dyDescent="0.3">
      <c r="A19" s="22" t="s">
        <v>101</v>
      </c>
      <c r="B19" s="141" t="s">
        <v>49</v>
      </c>
      <c r="C19" s="142" t="s">
        <v>93</v>
      </c>
      <c r="D19" s="142" t="s">
        <v>48</v>
      </c>
      <c r="E19" s="152"/>
      <c r="F19" s="143">
        <v>24</v>
      </c>
      <c r="G19" s="144">
        <v>160</v>
      </c>
      <c r="H19" s="153"/>
      <c r="I19" s="114" t="str">
        <f t="shared" si="0"/>
        <v/>
      </c>
      <c r="J19" s="115" t="str">
        <f t="shared" si="1"/>
        <v/>
      </c>
      <c r="K19" s="115" t="str">
        <f t="shared" si="2"/>
        <v/>
      </c>
      <c r="L19" s="116" t="str">
        <f t="shared" si="3"/>
        <v/>
      </c>
      <c r="M19" s="127">
        <f t="shared" si="4"/>
        <v>0</v>
      </c>
      <c r="N19" s="86">
        <f t="shared" si="14"/>
        <v>3840</v>
      </c>
      <c r="O19" s="87"/>
      <c r="P19" s="88">
        <v>500</v>
      </c>
      <c r="Q19" s="89">
        <f t="shared" si="15"/>
        <v>0</v>
      </c>
      <c r="R19" s="88">
        <f t="shared" si="8"/>
        <v>950</v>
      </c>
      <c r="S19" s="88">
        <f t="shared" si="9"/>
        <v>0</v>
      </c>
      <c r="T19" s="90" t="e">
        <f t="shared" si="16"/>
        <v>#DIV/0!</v>
      </c>
      <c r="U19" s="88" t="e">
        <f t="shared" si="17"/>
        <v>#DIV/0!</v>
      </c>
      <c r="V19" s="88" t="e">
        <f t="shared" si="18"/>
        <v>#DIV/0!</v>
      </c>
      <c r="AA19" s="126" t="str">
        <f t="shared" si="13"/>
        <v/>
      </c>
    </row>
    <row r="20" spans="1:27" ht="16.5" thickTop="1" thickBot="1" x14ac:dyDescent="0.3">
      <c r="A20"/>
      <c r="B20" t="s">
        <v>1</v>
      </c>
      <c r="D20"/>
      <c r="E20" s="23">
        <f>SUM(E9:E19)</f>
        <v>0</v>
      </c>
      <c r="F20"/>
      <c r="G20"/>
      <c r="H20"/>
      <c r="J20" s="1"/>
      <c r="K20" s="1"/>
      <c r="L20" s="8">
        <f>SUM(L9:L19)</f>
        <v>0</v>
      </c>
    </row>
    <row r="21" spans="1:27" ht="15.75" thickTop="1" x14ac:dyDescent="0.25">
      <c r="B21" s="39"/>
      <c r="K21" s="3" t="s">
        <v>17</v>
      </c>
      <c r="L21" s="4">
        <f>L20*0.19</f>
        <v>0</v>
      </c>
      <c r="X21" s="44" t="s">
        <v>67</v>
      </c>
    </row>
    <row r="22" spans="1:27" ht="15.75" thickBot="1" x14ac:dyDescent="0.3">
      <c r="B22" s="21" t="s">
        <v>47</v>
      </c>
      <c r="C22" s="1"/>
      <c r="K22" s="3" t="s">
        <v>34</v>
      </c>
      <c r="L22" s="5">
        <f>SUM(L20:L21)</f>
        <v>0</v>
      </c>
      <c r="X22" s="47" t="s">
        <v>68</v>
      </c>
    </row>
    <row r="23" spans="1:27" ht="15.75" thickTop="1" x14ac:dyDescent="0.25">
      <c r="A23" s="20"/>
      <c r="B23" s="161"/>
      <c r="C23" s="162"/>
      <c r="D23" s="162"/>
      <c r="E23" s="162"/>
      <c r="F23" s="162"/>
      <c r="G23" s="162"/>
      <c r="H23" s="163"/>
      <c r="K23" s="3"/>
      <c r="L23" s="9"/>
      <c r="M23" s="128"/>
      <c r="N23" s="129" t="s">
        <v>107</v>
      </c>
      <c r="O23" s="130">
        <v>450</v>
      </c>
      <c r="P23" s="49" t="s">
        <v>7</v>
      </c>
      <c r="Q23" s="50" t="s">
        <v>5</v>
      </c>
      <c r="R23" s="50"/>
      <c r="S23" s="50" t="s">
        <v>98</v>
      </c>
      <c r="T23" s="50" t="s">
        <v>3</v>
      </c>
      <c r="U23" s="50" t="s">
        <v>6</v>
      </c>
      <c r="V23" s="50" t="s">
        <v>24</v>
      </c>
      <c r="W23" s="51" t="s">
        <v>71</v>
      </c>
      <c r="X23" s="54">
        <v>0</v>
      </c>
    </row>
    <row r="24" spans="1:27" ht="15.75" thickBot="1" x14ac:dyDescent="0.3">
      <c r="A24" s="20"/>
      <c r="B24" s="164"/>
      <c r="C24" s="165"/>
      <c r="D24" s="165"/>
      <c r="E24" s="165"/>
      <c r="F24" s="165"/>
      <c r="G24" s="165"/>
      <c r="H24" s="166"/>
      <c r="K24" s="3"/>
      <c r="M24" s="131"/>
      <c r="N24" s="31" t="s">
        <v>108</v>
      </c>
      <c r="O24" s="132">
        <v>35</v>
      </c>
      <c r="P24" s="56" t="s">
        <v>49</v>
      </c>
      <c r="Q24" s="59">
        <v>495</v>
      </c>
      <c r="R24" s="57"/>
      <c r="S24" s="122">
        <v>0.3</v>
      </c>
      <c r="T24" s="59">
        <v>50</v>
      </c>
      <c r="U24" s="57">
        <f t="shared" ref="U24:U28" si="19">(Q24+R24+T24)/(1-S24)</f>
        <v>778.57142857142867</v>
      </c>
      <c r="V24" s="123">
        <f>U24</f>
        <v>778.57142857142867</v>
      </c>
      <c r="W24" s="60">
        <f>(V24-Q24)/V24</f>
        <v>0.36422018348623864</v>
      </c>
      <c r="X24" s="62">
        <f>V24*(1-X$23)</f>
        <v>778.57142857142867</v>
      </c>
    </row>
    <row r="25" spans="1:27" ht="16.5" thickTop="1" thickBot="1" x14ac:dyDescent="0.3">
      <c r="A25" s="20"/>
      <c r="B25" s="164"/>
      <c r="C25" s="165"/>
      <c r="D25" s="165"/>
      <c r="E25" s="165"/>
      <c r="F25" s="165"/>
      <c r="G25" s="165"/>
      <c r="H25" s="166"/>
      <c r="K25" s="3"/>
      <c r="M25" s="131"/>
      <c r="N25" s="31" t="s">
        <v>109</v>
      </c>
      <c r="O25" s="133">
        <v>542</v>
      </c>
      <c r="P25" s="56" t="s">
        <v>73</v>
      </c>
      <c r="Q25" s="59">
        <v>400</v>
      </c>
      <c r="R25" s="57"/>
      <c r="S25" s="122">
        <v>0.3</v>
      </c>
      <c r="T25" s="59">
        <v>50</v>
      </c>
      <c r="U25" s="57">
        <f t="shared" si="19"/>
        <v>642.85714285714289</v>
      </c>
      <c r="V25" s="123">
        <f t="shared" ref="V25:V28" si="20">U25</f>
        <v>642.85714285714289</v>
      </c>
      <c r="W25" s="60">
        <f t="shared" ref="W25:W28" si="21">(V25-Q25)/V25</f>
        <v>0.37777777777777782</v>
      </c>
      <c r="X25" s="62">
        <f t="shared" ref="X25:X32" si="22">V25*(1-X$23)</f>
        <v>642.85714285714289</v>
      </c>
    </row>
    <row r="26" spans="1:27" ht="16.5" thickTop="1" thickBot="1" x14ac:dyDescent="0.3">
      <c r="A26" s="20"/>
      <c r="B26" s="167"/>
      <c r="C26" s="168"/>
      <c r="D26" s="168"/>
      <c r="E26" s="168"/>
      <c r="F26" s="168"/>
      <c r="G26" s="168"/>
      <c r="H26" s="169"/>
      <c r="K26" s="3"/>
      <c r="M26" s="131"/>
      <c r="N26" s="31" t="s">
        <v>110</v>
      </c>
      <c r="O26" s="134">
        <v>0.1</v>
      </c>
      <c r="P26" s="56" t="s">
        <v>54</v>
      </c>
      <c r="Q26" s="59">
        <v>600</v>
      </c>
      <c r="R26" s="57"/>
      <c r="S26" s="122">
        <v>0.4</v>
      </c>
      <c r="T26" s="59">
        <v>50</v>
      </c>
      <c r="U26" s="57">
        <f t="shared" si="19"/>
        <v>1083.3333333333335</v>
      </c>
      <c r="V26" s="123">
        <f t="shared" si="20"/>
        <v>1083.3333333333335</v>
      </c>
      <c r="W26" s="60">
        <f t="shared" si="21"/>
        <v>0.44615384615384623</v>
      </c>
      <c r="X26" s="62">
        <f t="shared" si="22"/>
        <v>1083.3333333333335</v>
      </c>
    </row>
    <row r="27" spans="1:27" ht="16.5" thickTop="1" thickBot="1" x14ac:dyDescent="0.3">
      <c r="M27" s="131"/>
      <c r="N27" s="31" t="s">
        <v>111</v>
      </c>
      <c r="O27" s="133">
        <v>500</v>
      </c>
      <c r="P27" s="56" t="s">
        <v>74</v>
      </c>
      <c r="Q27" s="59">
        <v>700</v>
      </c>
      <c r="R27" s="57"/>
      <c r="S27" s="122">
        <v>0.5</v>
      </c>
      <c r="T27" s="59">
        <v>50</v>
      </c>
      <c r="U27" s="57">
        <f t="shared" si="19"/>
        <v>1500</v>
      </c>
      <c r="V27" s="123">
        <f t="shared" si="20"/>
        <v>1500</v>
      </c>
      <c r="W27" s="60">
        <f t="shared" si="21"/>
        <v>0.53333333333333333</v>
      </c>
      <c r="X27" s="62">
        <f t="shared" si="22"/>
        <v>1500</v>
      </c>
    </row>
    <row r="28" spans="1:27" ht="16.5" thickTop="1" thickBot="1" x14ac:dyDescent="0.3">
      <c r="B28" t="s">
        <v>25</v>
      </c>
      <c r="C28" s="18" t="s">
        <v>102</v>
      </c>
      <c r="D28"/>
      <c r="E28"/>
      <c r="F28"/>
      <c r="L28" s="14"/>
      <c r="M28" s="131"/>
      <c r="N28" s="31" t="s">
        <v>112</v>
      </c>
      <c r="O28" s="135">
        <f>((2*12*2)+(3.5*35)+(200*0.08))/3</f>
        <v>62.166666666666664</v>
      </c>
      <c r="P28" s="56" t="s">
        <v>53</v>
      </c>
      <c r="Q28" s="59">
        <v>550</v>
      </c>
      <c r="R28" s="57"/>
      <c r="S28" s="122">
        <v>0.4</v>
      </c>
      <c r="T28" s="59">
        <v>50</v>
      </c>
      <c r="U28" s="57">
        <f t="shared" si="19"/>
        <v>1000</v>
      </c>
      <c r="V28" s="123">
        <f t="shared" si="20"/>
        <v>1000</v>
      </c>
      <c r="W28" s="60">
        <f t="shared" si="21"/>
        <v>0.45</v>
      </c>
      <c r="X28" s="62">
        <f t="shared" si="22"/>
        <v>1000</v>
      </c>
    </row>
    <row r="29" spans="1:27" ht="15.75" thickTop="1" x14ac:dyDescent="0.25">
      <c r="B29" t="s">
        <v>26</v>
      </c>
      <c r="C29" s="18" t="s">
        <v>99</v>
      </c>
      <c r="D29"/>
      <c r="E29"/>
      <c r="F29"/>
      <c r="M29" s="131"/>
      <c r="N29" s="31" t="s">
        <v>113</v>
      </c>
      <c r="O29" s="134">
        <v>0.3</v>
      </c>
      <c r="P29" s="56"/>
      <c r="W29" s="68"/>
      <c r="X29" s="62">
        <f t="shared" si="22"/>
        <v>0</v>
      </c>
    </row>
    <row r="30" spans="1:27" x14ac:dyDescent="0.25">
      <c r="B30" t="s">
        <v>27</v>
      </c>
      <c r="C30" s="18" t="s">
        <v>28</v>
      </c>
      <c r="D30"/>
      <c r="E30"/>
      <c r="F30"/>
      <c r="M30" s="131"/>
      <c r="N30" s="31" t="s">
        <v>114</v>
      </c>
      <c r="O30" s="133">
        <v>500</v>
      </c>
      <c r="P30" s="56"/>
      <c r="W30" s="68"/>
      <c r="X30" s="62">
        <f t="shared" si="22"/>
        <v>0</v>
      </c>
    </row>
    <row r="31" spans="1:27" x14ac:dyDescent="0.25">
      <c r="B31" t="s">
        <v>29</v>
      </c>
      <c r="C31" t="s">
        <v>50</v>
      </c>
      <c r="D31"/>
      <c r="E31"/>
      <c r="F31"/>
      <c r="M31" s="131"/>
      <c r="N31" s="31" t="s">
        <v>115</v>
      </c>
      <c r="O31" s="134">
        <v>0.9</v>
      </c>
      <c r="P31" s="56"/>
      <c r="W31" s="68"/>
      <c r="X31" s="62">
        <f t="shared" si="22"/>
        <v>0</v>
      </c>
    </row>
    <row r="32" spans="1:27" ht="15.75" thickBot="1" x14ac:dyDescent="0.3">
      <c r="B32" s="7"/>
      <c r="C32" s="7"/>
      <c r="D32" s="7"/>
      <c r="E32" s="7"/>
      <c r="F32" s="7"/>
      <c r="G32" s="6"/>
      <c r="M32" s="136"/>
      <c r="N32" s="137" t="s">
        <v>116</v>
      </c>
      <c r="O32" s="138">
        <v>0.6</v>
      </c>
      <c r="P32" s="76"/>
      <c r="Q32" s="77"/>
      <c r="R32" s="77"/>
      <c r="S32" s="77"/>
      <c r="T32" s="77"/>
      <c r="U32" s="77"/>
      <c r="V32" s="77"/>
      <c r="W32" s="78"/>
      <c r="X32" s="66">
        <f t="shared" si="22"/>
        <v>0</v>
      </c>
    </row>
    <row r="33" spans="1:18" x14ac:dyDescent="0.25">
      <c r="A33" s="11"/>
      <c r="B33" s="15" t="s">
        <v>100</v>
      </c>
      <c r="C33" s="12"/>
      <c r="D33" s="12"/>
      <c r="E33" s="12"/>
      <c r="F33" s="12"/>
      <c r="G33" s="13"/>
      <c r="H33" s="11"/>
      <c r="I33" s="11"/>
      <c r="J33" s="14"/>
      <c r="K33" s="14"/>
      <c r="O33" t="s">
        <v>33</v>
      </c>
    </row>
    <row r="34" spans="1:18" x14ac:dyDescent="0.25">
      <c r="B34" s="7" t="s">
        <v>35</v>
      </c>
      <c r="C34" s="154"/>
      <c r="D34" s="155"/>
      <c r="E34" s="156"/>
      <c r="G34" s="7" t="s">
        <v>36</v>
      </c>
      <c r="H34" s="154"/>
      <c r="I34" s="155"/>
      <c r="J34" s="156"/>
      <c r="R34" s="139">
        <f>IF(F34&lt;($S$3-6),P34*(1+$O$31),P34*(1+$O$32))</f>
        <v>0</v>
      </c>
    </row>
    <row r="35" spans="1:18" x14ac:dyDescent="0.25">
      <c r="B35" s="7" t="s">
        <v>41</v>
      </c>
      <c r="C35" s="154"/>
      <c r="D35" s="155"/>
      <c r="E35" s="156"/>
      <c r="G35" s="7" t="s">
        <v>44</v>
      </c>
      <c r="H35" s="154"/>
      <c r="I35" s="155"/>
      <c r="J35" s="156"/>
      <c r="N35" t="s">
        <v>49</v>
      </c>
      <c r="O35" t="s">
        <v>0</v>
      </c>
      <c r="P35" t="s">
        <v>33</v>
      </c>
    </row>
    <row r="36" spans="1:18" x14ac:dyDescent="0.25">
      <c r="B36" s="7" t="s">
        <v>38</v>
      </c>
      <c r="C36" s="154"/>
      <c r="D36" s="155"/>
      <c r="E36" s="156"/>
      <c r="G36" s="7" t="s">
        <v>43</v>
      </c>
      <c r="H36" s="154"/>
      <c r="I36" s="155"/>
      <c r="J36" s="156"/>
      <c r="N36" t="s">
        <v>54</v>
      </c>
      <c r="O36" t="s">
        <v>51</v>
      </c>
      <c r="P36" t="s">
        <v>31</v>
      </c>
    </row>
    <row r="37" spans="1:18" x14ac:dyDescent="0.25">
      <c r="B37" s="7" t="s">
        <v>42</v>
      </c>
      <c r="C37" s="154"/>
      <c r="D37" s="155"/>
      <c r="E37" s="156"/>
      <c r="G37" s="7" t="s">
        <v>37</v>
      </c>
      <c r="H37" s="154"/>
      <c r="I37" s="155"/>
      <c r="J37" s="156"/>
      <c r="N37" t="s">
        <v>73</v>
      </c>
      <c r="O37" t="s">
        <v>4</v>
      </c>
      <c r="P37" t="s">
        <v>48</v>
      </c>
    </row>
    <row r="38" spans="1:18" x14ac:dyDescent="0.25">
      <c r="N38" t="s">
        <v>74</v>
      </c>
      <c r="O38" t="s">
        <v>52</v>
      </c>
    </row>
    <row r="39" spans="1:18" ht="15.75" thickBot="1" x14ac:dyDescent="0.3">
      <c r="A39" s="28"/>
      <c r="B39" s="29"/>
      <c r="C39" s="29"/>
      <c r="D39" s="28"/>
      <c r="E39" s="28"/>
      <c r="F39" s="28"/>
      <c r="G39" s="28"/>
      <c r="H39" s="28"/>
      <c r="I39" s="28"/>
      <c r="J39" s="30"/>
      <c r="K39" s="30"/>
      <c r="L39" s="30"/>
      <c r="N39" t="s">
        <v>53</v>
      </c>
      <c r="O39" t="s">
        <v>93</v>
      </c>
    </row>
    <row r="41" spans="1:18" x14ac:dyDescent="0.25">
      <c r="F41" s="2"/>
      <c r="G41" s="2"/>
      <c r="P41" s="139" t="e">
        <f>IF($O$33="unbesäumt",$O$30,((((IF(G41&gt;200,(IF(AND(F41=50,G41=80),M41*$O$27,IF(AND(F41=60,G41=80),M41*$O$27,IF(AND(F41=40,G41=60),M41*$O$27,IF(F41&lt;$O$24+1,M41*$O$25,M41*$O$23)))))*(1+$O$26),IF(AND(F41=50,G41=80),M41*$O$27,IF(AND(F41=60,G41=80),M41*$O$27,IF(AND(F41=40,G41=60),M41*$O$27,IF(F41&lt;$O$24+1,M41*$O$25,M41*$O$23))))))/(1-$O$29))+(M41*$O$28))/M41))</f>
        <v>#DIV/0!</v>
      </c>
    </row>
  </sheetData>
  <sheetProtection algorithmName="SHA-512" hashValue="VwFu/a37NWneyL/U8ORoRVNqwnAEKazn70+3E4His0s2wecgIvur1coQo54SwAyHBBPw3H/jpFETjcWHwj/+hA==" saltValue="1e9rIXCYIaK7un5pC+TsVw==" spinCount="100000" sheet="1" objects="1" scenarios="1" selectLockedCells="1"/>
  <protectedRanges>
    <protectedRange sqref="H19" name="Bereich6"/>
    <protectedRange sqref="E19" name="Bereich5"/>
    <protectedRange sqref="B9:H18" name="Bereich1"/>
    <protectedRange sqref="C34:E37" name="Bereich2"/>
    <protectedRange sqref="H34:J37" name="Bereich3"/>
    <protectedRange sqref="B23:H26" name="Bereich4"/>
  </protectedRanges>
  <mergeCells count="11">
    <mergeCell ref="C36:E36"/>
    <mergeCell ref="H36:J36"/>
    <mergeCell ref="C37:E37"/>
    <mergeCell ref="H37:J37"/>
    <mergeCell ref="A1:B1"/>
    <mergeCell ref="A6:L6"/>
    <mergeCell ref="B23:H26"/>
    <mergeCell ref="C34:E34"/>
    <mergeCell ref="H34:J34"/>
    <mergeCell ref="C35:E35"/>
    <mergeCell ref="H35:J35"/>
  </mergeCells>
  <phoneticPr fontId="27" type="noConversion"/>
  <conditionalFormatting sqref="P9:P1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9:R1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7">
    <dataValidation type="list" errorStyle="information" allowBlank="1" showInputMessage="1" errorTitle="Ungültige Eingabe!" error="Bitte ESC tippen und mit Auswahlbutton arbeiten!" sqref="C9:C18" xr:uid="{26B2B9A8-388C-48B7-B861-B057A231130E}">
      <formula1>$O$35:$O$39</formula1>
    </dataValidation>
    <dataValidation type="list" allowBlank="1" showInputMessage="1" showErrorMessage="1" errorTitle="Ungültige Eingabe!" error="Bitte ESC tippen und mit Auswahlbutton arbeiten!" sqref="D9:D18" xr:uid="{82DD6BE1-FA58-455E-9BB1-394B12EC1552}">
      <formula1>$P$35:$P$36</formula1>
    </dataValidation>
    <dataValidation type="whole" showErrorMessage="1" errorTitle="Ungültige Eingabe!" error="Bitte ESC tippen und eine ganze Zahl zwischen 10 und 600 eingeben!" sqref="F19:G19" xr:uid="{831E597A-1CE0-4ADC-A52E-5464F3C074B5}">
      <formula1>9</formula1>
      <formula2>601</formula2>
    </dataValidation>
    <dataValidation type="whole" showInputMessage="1" showErrorMessage="1" errorTitle="Ungültige Eingabe!" error="Bitte ESC tippen und ganze Zahl zwischen 25 und 610 eingeben!" promptTitle="Bitte beachten:" prompt="-Bitte immer die kürzeste benötigte Länge eingeben. Dadurch kann ich evtl. Reste verwerten und ein günstigeres Schlußangebot machen._x000a_-Bei Längen über 510 cm muss leider ein Preisaufschlag von 10% berechnet werden" sqref="H9:H19" xr:uid="{458DAFB2-6EED-4923-A9C1-03BE6B5CEAF4}">
      <formula1>24</formula1>
      <formula2>611</formula2>
    </dataValidation>
    <dataValidation allowBlank="1" showInputMessage="1" showErrorMessage="1" promptTitle="Bitte beachten:" prompt="PLZ und Ort benötigen wir für die Sammelfahrt oder evtl. Berechnung der Lieferkosten!" sqref="C34:E34" xr:uid="{FCBD75A3-CEB4-4163-82E9-D091864936F9}"/>
    <dataValidation type="whole" showErrorMessage="1" errorTitle="Ungültige Eingabe!" error="Bitte ESC tippen und eine ganze Zahl zwischen 24und 500 eingeben!" sqref="F9:G18" xr:uid="{33265D37-DD92-4884-ABDB-678ED064F194}">
      <formula1>24</formula1>
      <formula2>500</formula2>
    </dataValidation>
    <dataValidation allowBlank="1" showInputMessage="1" showErrorMessage="1" errorTitle="Ungültige Eingabe!" error="Bitte ESC tippen und mit Auswahlbutton arbeiten!" sqref="B9:B19" xr:uid="{3D735D77-68E3-42E8-A6A0-C9139EE21EF5}"/>
  </dataValidations>
  <pageMargins left="0.52" right="0.36" top="0.26" bottom="0.28000000000000003" header="0.17" footer="0.14000000000000001"/>
  <pageSetup paperSize="9" scale="9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DCE3-1FED-43D0-9D9E-95A4764480F4}">
  <sheetPr codeName="Tabelle18"/>
  <dimension ref="A1:Y47"/>
  <sheetViews>
    <sheetView zoomScaleNormal="100" workbookViewId="0">
      <selection activeCell="Q15" sqref="Q15"/>
    </sheetView>
  </sheetViews>
  <sheetFormatPr baseColWidth="10" defaultColWidth="10.7109375" defaultRowHeight="15" x14ac:dyDescent="0.25"/>
  <cols>
    <col min="1" max="1" width="7.140625" customWidth="1"/>
    <col min="2" max="2" width="13.85546875" customWidth="1"/>
    <col min="3" max="3" width="13.5703125" bestFit="1" customWidth="1"/>
    <col min="5" max="5" width="24.5703125" customWidth="1"/>
    <col min="7" max="7" width="12.5703125" customWidth="1"/>
    <col min="9" max="9" width="10.7109375" style="42"/>
    <col min="10" max="10" width="10.7109375" style="43"/>
    <col min="12" max="12" width="12.5703125" customWidth="1"/>
    <col min="13" max="13" width="12" bestFit="1" customWidth="1"/>
    <col min="29" max="29" width="23.140625" customWidth="1"/>
    <col min="30" max="30" width="13.5703125" bestFit="1" customWidth="1"/>
  </cols>
  <sheetData>
    <row r="1" spans="1:21" ht="26.25" customHeight="1" thickTop="1" x14ac:dyDescent="0.4">
      <c r="A1" s="40" t="s">
        <v>65</v>
      </c>
      <c r="G1" s="41" t="s">
        <v>66</v>
      </c>
      <c r="P1" s="44" t="s">
        <v>67</v>
      </c>
      <c r="U1" s="45"/>
    </row>
    <row r="2" spans="1:21" x14ac:dyDescent="0.25">
      <c r="K2" s="31" t="s">
        <v>55</v>
      </c>
      <c r="L2" s="46">
        <v>4.0000000000000002E-4</v>
      </c>
      <c r="P2" s="47" t="s">
        <v>68</v>
      </c>
      <c r="R2" s="48" t="s">
        <v>69</v>
      </c>
      <c r="U2" s="45"/>
    </row>
    <row r="3" spans="1:21" x14ac:dyDescent="0.25">
      <c r="B3" s="49" t="s">
        <v>7</v>
      </c>
      <c r="C3" s="50" t="s">
        <v>5</v>
      </c>
      <c r="D3" s="50" t="s">
        <v>70</v>
      </c>
      <c r="E3" s="50" t="s">
        <v>30</v>
      </c>
      <c r="F3" s="50" t="s">
        <v>3</v>
      </c>
      <c r="G3" s="50" t="s">
        <v>6</v>
      </c>
      <c r="H3" s="50" t="s">
        <v>24</v>
      </c>
      <c r="I3" s="51" t="s">
        <v>71</v>
      </c>
      <c r="K3" s="32" t="s">
        <v>56</v>
      </c>
      <c r="L3" s="33">
        <v>450</v>
      </c>
      <c r="M3" s="52" t="s">
        <v>72</v>
      </c>
      <c r="N3" s="53"/>
      <c r="P3" s="54">
        <v>0.15</v>
      </c>
      <c r="R3" s="55">
        <v>400</v>
      </c>
    </row>
    <row r="4" spans="1:21" x14ac:dyDescent="0.25">
      <c r="B4" s="56" t="s">
        <v>49</v>
      </c>
      <c r="C4" s="57">
        <v>72</v>
      </c>
      <c r="D4" s="57">
        <v>7.5</v>
      </c>
      <c r="E4" s="58">
        <v>0.2</v>
      </c>
      <c r="F4" s="57">
        <v>15</v>
      </c>
      <c r="G4" s="57">
        <f>(C4*(1+E4))+D4+F4</f>
        <v>108.89999999999999</v>
      </c>
      <c r="H4" s="59">
        <v>450</v>
      </c>
      <c r="I4" s="60">
        <f>H4/G4</f>
        <v>4.1322314049586781</v>
      </c>
      <c r="K4" s="34" t="s">
        <v>57</v>
      </c>
      <c r="L4" s="61">
        <v>6000</v>
      </c>
      <c r="P4" s="62">
        <f>H4/(1+P$3)</f>
        <v>391.304347826087</v>
      </c>
      <c r="R4" s="63">
        <v>5000</v>
      </c>
    </row>
    <row r="5" spans="1:21" x14ac:dyDescent="0.25">
      <c r="B5" s="56" t="s">
        <v>73</v>
      </c>
      <c r="C5" s="57">
        <v>72</v>
      </c>
      <c r="D5" s="57">
        <v>7.5</v>
      </c>
      <c r="E5" s="58">
        <v>0.25</v>
      </c>
      <c r="F5" s="57">
        <v>15</v>
      </c>
      <c r="G5" s="57">
        <f>(C5*(1+E5))+D5+F5</f>
        <v>112.5</v>
      </c>
      <c r="H5" s="59">
        <v>400</v>
      </c>
      <c r="I5" s="60">
        <f t="shared" ref="I5:I8" si="0">H5/G5</f>
        <v>3.5555555555555554</v>
      </c>
      <c r="K5" s="32" t="s">
        <v>58</v>
      </c>
      <c r="L5" s="64">
        <v>5</v>
      </c>
      <c r="P5" s="62">
        <f>H5/(1+P$3)</f>
        <v>347.82608695652175</v>
      </c>
      <c r="R5" s="65">
        <v>5</v>
      </c>
    </row>
    <row r="6" spans="1:21" x14ac:dyDescent="0.25">
      <c r="B6" s="56" t="s">
        <v>54</v>
      </c>
      <c r="C6" s="57">
        <v>80</v>
      </c>
      <c r="D6" s="57">
        <v>7.5</v>
      </c>
      <c r="E6" s="58">
        <v>0.15</v>
      </c>
      <c r="F6" s="57">
        <v>15</v>
      </c>
      <c r="G6" s="57">
        <f>(C6*(1+E6))+D6+F6</f>
        <v>114.5</v>
      </c>
      <c r="H6" s="59">
        <v>900</v>
      </c>
      <c r="I6" s="60">
        <f t="shared" si="0"/>
        <v>7.8602620087336241</v>
      </c>
      <c r="K6" s="32" t="s">
        <v>59</v>
      </c>
      <c r="L6" s="61">
        <v>1500</v>
      </c>
      <c r="P6" s="62">
        <f>H6/(1+P$3)</f>
        <v>782.60869565217399</v>
      </c>
      <c r="R6" s="63">
        <v>2000</v>
      </c>
    </row>
    <row r="7" spans="1:21" x14ac:dyDescent="0.25">
      <c r="B7" s="56" t="s">
        <v>74</v>
      </c>
      <c r="C7" s="57">
        <v>80</v>
      </c>
      <c r="D7" s="57">
        <v>7.5</v>
      </c>
      <c r="E7" s="58">
        <v>0.15</v>
      </c>
      <c r="F7" s="57">
        <v>15</v>
      </c>
      <c r="G7" s="57">
        <f>(C7*(1+E7))+D7+F7</f>
        <v>114.5</v>
      </c>
      <c r="H7" s="59">
        <v>950</v>
      </c>
      <c r="I7" s="60">
        <f t="shared" si="0"/>
        <v>8.2969432314410483</v>
      </c>
      <c r="K7" s="32" t="s">
        <v>60</v>
      </c>
      <c r="L7" s="64">
        <v>30</v>
      </c>
      <c r="P7" s="62">
        <f>H7/(1+P$3)</f>
        <v>826.08695652173924</v>
      </c>
      <c r="R7" s="65">
        <v>12</v>
      </c>
    </row>
    <row r="8" spans="1:21" ht="15.75" thickBot="1" x14ac:dyDescent="0.3">
      <c r="B8" s="56" t="s">
        <v>53</v>
      </c>
      <c r="C8" s="57">
        <v>80</v>
      </c>
      <c r="D8" s="57">
        <v>7.5</v>
      </c>
      <c r="E8" s="58">
        <v>0.15</v>
      </c>
      <c r="F8" s="57">
        <v>15</v>
      </c>
      <c r="G8" s="57">
        <f>(C8*(1+E8))+D8+F8</f>
        <v>114.5</v>
      </c>
      <c r="H8" s="59">
        <v>800</v>
      </c>
      <c r="I8" s="60">
        <f t="shared" si="0"/>
        <v>6.9868995633187776</v>
      </c>
      <c r="K8" s="35" t="s">
        <v>61</v>
      </c>
      <c r="L8" s="46">
        <v>2E-3</v>
      </c>
      <c r="P8" s="66">
        <f>H8/(1+P$3)</f>
        <v>695.6521739130435</v>
      </c>
      <c r="R8" s="67"/>
    </row>
    <row r="9" spans="1:21" ht="15.75" thickTop="1" x14ac:dyDescent="0.25">
      <c r="B9" s="56"/>
      <c r="I9" s="68"/>
      <c r="K9" s="35" t="s">
        <v>62</v>
      </c>
      <c r="L9" s="69">
        <v>0.2</v>
      </c>
      <c r="R9" s="70">
        <v>0.2</v>
      </c>
    </row>
    <row r="10" spans="1:21" x14ac:dyDescent="0.25">
      <c r="B10" s="56"/>
      <c r="I10" s="68"/>
      <c r="K10" s="35" t="s">
        <v>63</v>
      </c>
      <c r="L10" s="71">
        <v>0.25</v>
      </c>
      <c r="M10" s="72" t="s">
        <v>64</v>
      </c>
      <c r="R10" s="55">
        <v>0.25</v>
      </c>
    </row>
    <row r="11" spans="1:21" x14ac:dyDescent="0.25">
      <c r="B11" s="56"/>
      <c r="I11" s="68"/>
      <c r="K11" s="35" t="s">
        <v>75</v>
      </c>
      <c r="L11" s="73">
        <v>3</v>
      </c>
      <c r="M11" s="74" t="s">
        <v>76</v>
      </c>
      <c r="R11" s="75">
        <v>3</v>
      </c>
    </row>
    <row r="12" spans="1:21" x14ac:dyDescent="0.25">
      <c r="B12" s="76"/>
      <c r="C12" s="77"/>
      <c r="D12" s="77"/>
      <c r="E12" s="77"/>
      <c r="F12" s="77"/>
      <c r="G12" s="77"/>
      <c r="H12" s="77"/>
      <c r="I12" s="78"/>
      <c r="K12" s="35" t="s">
        <v>77</v>
      </c>
      <c r="L12" s="79" t="s">
        <v>33</v>
      </c>
    </row>
    <row r="13" spans="1:21" x14ac:dyDescent="0.25">
      <c r="G13" s="80">
        <f>AVERAGE(G4:G12)</f>
        <v>112.97999999999999</v>
      </c>
      <c r="K13" s="35" t="s">
        <v>78</v>
      </c>
      <c r="L13" s="81">
        <f>IF(ISERROR(IF(L12="sägerauh",L18,IF(L12="gehobelt",N18,L18))+M14)=TRUE,0,IF(L12="sägerauh",L18,IF(L12="gehobelt",N18,L18))+M14)</f>
        <v>462</v>
      </c>
      <c r="M13" s="81">
        <f>IF(L12="sägerauh",L18,N18)</f>
        <v>462</v>
      </c>
    </row>
    <row r="14" spans="1:21" x14ac:dyDescent="0.25">
      <c r="K14" s="35" t="s">
        <v>23</v>
      </c>
      <c r="L14" s="82">
        <v>0</v>
      </c>
      <c r="M14" s="81">
        <f>M13*L14</f>
        <v>0</v>
      </c>
    </row>
    <row r="16" spans="1:21" x14ac:dyDescent="0.25">
      <c r="R16" t="s">
        <v>33</v>
      </c>
      <c r="S16" t="s">
        <v>31</v>
      </c>
    </row>
    <row r="17" spans="1:25" x14ac:dyDescent="0.25">
      <c r="B17" s="170" t="s">
        <v>79</v>
      </c>
      <c r="C17" s="170"/>
      <c r="D17" s="170"/>
      <c r="E17" s="170"/>
      <c r="F17" t="s">
        <v>80</v>
      </c>
      <c r="G17" t="s">
        <v>81</v>
      </c>
      <c r="H17" t="s">
        <v>82</v>
      </c>
      <c r="K17" t="s">
        <v>83</v>
      </c>
      <c r="L17" t="s">
        <v>33</v>
      </c>
      <c r="M17" t="s">
        <v>33</v>
      </c>
      <c r="N17" t="s">
        <v>31</v>
      </c>
      <c r="O17" t="s">
        <v>31</v>
      </c>
      <c r="P17" t="s">
        <v>84</v>
      </c>
      <c r="R17" t="s">
        <v>85</v>
      </c>
      <c r="S17" t="s">
        <v>85</v>
      </c>
    </row>
    <row r="18" spans="1:25" x14ac:dyDescent="0.25">
      <c r="B18" s="170"/>
      <c r="C18" s="170"/>
      <c r="D18" s="170"/>
      <c r="E18" s="170"/>
      <c r="F18" s="83">
        <v>100</v>
      </c>
      <c r="G18" s="83">
        <v>100</v>
      </c>
      <c r="H18" s="84">
        <v>500</v>
      </c>
      <c r="I18" s="85">
        <f>F18/G18</f>
        <v>1</v>
      </c>
      <c r="J18" s="86">
        <f>F18*G18</f>
        <v>10000</v>
      </c>
      <c r="K18" s="87">
        <f>(IF(IF(F18*G18&lt;$L$4,($L$4-(F18*G18))*$L$5,(F18*G18)-$L$4)/$L$6&lt;$L$7,IF(F18*G18&lt;$L$4,($L$4-(F18*G18))*$L$5,(F18*G18)-$L$4)/$L$6,$L$7)/100)+IF(G18&gt;150,(G18-150)*$L$8,0)+IF(J18&lt;2000,(2000-J18)*$L$2,0)</f>
        <v>2.6666666666666665E-2</v>
      </c>
      <c r="L18" s="88">
        <f>$L$3*(1+K18)</f>
        <v>462</v>
      </c>
      <c r="M18" s="89">
        <f>(F18*G18*H18/100000000)*L18</f>
        <v>23.1</v>
      </c>
      <c r="N18" s="88">
        <f>L18*(1+P18)</f>
        <v>579.4</v>
      </c>
      <c r="O18" s="88">
        <f>(M18*(1+$L$9))+((H18/100)*$L$10)</f>
        <v>28.970000000000002</v>
      </c>
      <c r="P18" s="90">
        <f>(O18-M18)/M18</f>
        <v>0.25411255411255412</v>
      </c>
      <c r="R18" s="88">
        <f>M18/H18*100*1.19</f>
        <v>5.4977999999999998</v>
      </c>
      <c r="S18" s="88">
        <f>O18/H18*100*1.19</f>
        <v>6.8948600000000004</v>
      </c>
    </row>
    <row r="19" spans="1:25" x14ac:dyDescent="0.25">
      <c r="A19" s="77"/>
      <c r="B19" s="77"/>
      <c r="C19" s="77"/>
      <c r="D19" s="77"/>
      <c r="E19" s="77"/>
      <c r="F19" s="77"/>
      <c r="G19" s="77"/>
      <c r="H19" s="77"/>
      <c r="I19" s="91"/>
      <c r="J19" s="92"/>
      <c r="K19" s="77"/>
      <c r="L19" s="93">
        <f>L18*(1-P3)</f>
        <v>392.7</v>
      </c>
      <c r="M19" s="77"/>
      <c r="N19" s="77"/>
      <c r="O19" s="77"/>
      <c r="P19" s="77"/>
    </row>
    <row r="20" spans="1:25" s="45" customFormat="1" ht="28.5" customHeight="1" x14ac:dyDescent="0.25">
      <c r="I20" s="94" t="s">
        <v>86</v>
      </c>
      <c r="J20" s="94" t="s">
        <v>87</v>
      </c>
      <c r="K20" s="45" t="s">
        <v>83</v>
      </c>
      <c r="L20" s="45" t="s">
        <v>33</v>
      </c>
      <c r="M20" s="95" t="s">
        <v>88</v>
      </c>
      <c r="N20" s="45" t="s">
        <v>31</v>
      </c>
      <c r="O20" s="45" t="s">
        <v>89</v>
      </c>
      <c r="P20" s="45" t="s">
        <v>84</v>
      </c>
      <c r="V20" s="171" t="s">
        <v>90</v>
      </c>
      <c r="W20" s="171"/>
      <c r="X20" s="96"/>
      <c r="Y20" s="96"/>
    </row>
    <row r="21" spans="1:25" x14ac:dyDescent="0.25">
      <c r="B21" s="172" t="s">
        <v>91</v>
      </c>
      <c r="C21" s="173"/>
      <c r="E21" t="s">
        <v>92</v>
      </c>
      <c r="F21" s="97">
        <v>22</v>
      </c>
      <c r="G21" s="97">
        <v>60</v>
      </c>
      <c r="H21" s="98">
        <v>100</v>
      </c>
      <c r="I21" s="85">
        <f t="shared" ref="I21:I47" si="1">F21/G21</f>
        <v>0.36666666666666664</v>
      </c>
      <c r="J21" s="86">
        <f t="shared" ref="J21:J47" si="2">F21*G21</f>
        <v>1320</v>
      </c>
      <c r="K21" s="87">
        <f t="shared" ref="K21:K47" si="3">(IF(IF(F21*G21&lt;$L$4,($L$4-(F21*G21))*$L$5,(F21*G21)-$L$4)/$L$6&lt;$L$7,IF(F21*G21&lt;$L$4,($L$4-(F21*G21))*$L$5,(F21*G21)-$L$4)/$L$6,$L$7)/100)+IF(G21&gt;150,(G21-150)*$L$8,0)+IF(J21&lt;2000,(2000-J21)*$L$2,0)</f>
        <v>0.42800000000000005</v>
      </c>
      <c r="L21" s="88">
        <f t="shared" ref="L21:L47" si="4">$L$3*(1+K21)</f>
        <v>642.6</v>
      </c>
      <c r="M21" s="99">
        <f t="shared" ref="M21:M47" si="5">(F21*G21*H21/100000000)*L21</f>
        <v>0.84823199999999999</v>
      </c>
      <c r="N21" s="88">
        <f t="shared" ref="N21:N47" si="6">L21*(1+P21)</f>
        <v>960.51393939393927</v>
      </c>
      <c r="O21" s="88">
        <f t="shared" ref="O21:O47" si="7">(M21*(1+$L$9))+((H21/100)*$L$10)</f>
        <v>1.2678783999999998</v>
      </c>
      <c r="P21" s="90">
        <f t="shared" ref="P21:P47" si="8">(O21-M21)/M21</f>
        <v>0.49473068688754945</v>
      </c>
      <c r="R21" s="88">
        <f>M21/H21*100*1.19</f>
        <v>1.0093960799999999</v>
      </c>
      <c r="S21" s="88">
        <f>O21/H21*100*1.19</f>
        <v>1.5087752959999998</v>
      </c>
      <c r="V21" t="str">
        <f>CONCATENATE(E21," ",F21," x ",G21,"mm = ",ROUND(M21*1.19,2)," €/Meter")</f>
        <v>Leiste 22 x 60mm = 1,01 €/Meter</v>
      </c>
    </row>
    <row r="22" spans="1:25" ht="15.75" thickBot="1" x14ac:dyDescent="0.3">
      <c r="B22" s="56" t="str">
        <f>B4</f>
        <v>Lärche/Dgl.</v>
      </c>
      <c r="C22" s="100">
        <v>500</v>
      </c>
      <c r="E22" s="101" t="s">
        <v>4</v>
      </c>
      <c r="F22" s="102">
        <v>22</v>
      </c>
      <c r="G22" s="102">
        <v>100</v>
      </c>
      <c r="H22" s="103">
        <v>100</v>
      </c>
      <c r="I22" s="104">
        <f t="shared" si="1"/>
        <v>0.22</v>
      </c>
      <c r="J22" s="105">
        <f t="shared" si="2"/>
        <v>2200</v>
      </c>
      <c r="K22" s="106">
        <f t="shared" si="3"/>
        <v>0.12666666666666665</v>
      </c>
      <c r="L22" s="107">
        <f t="shared" si="4"/>
        <v>507</v>
      </c>
      <c r="M22" s="108">
        <f t="shared" si="5"/>
        <v>1.1154000000000002</v>
      </c>
      <c r="N22" s="107">
        <f t="shared" si="6"/>
        <v>722.0363636363636</v>
      </c>
      <c r="O22" s="107">
        <f t="shared" si="7"/>
        <v>1.5884800000000001</v>
      </c>
      <c r="P22" s="109">
        <f t="shared" si="8"/>
        <v>0.4241348395194548</v>
      </c>
      <c r="R22" s="88">
        <f t="shared" ref="R22:R47" si="9">M22/H22*100*1.19</f>
        <v>1.3273260000000002</v>
      </c>
      <c r="S22" s="88">
        <f t="shared" ref="S22:S47" si="10">O22/H22*100*1.19</f>
        <v>1.8902912000000001</v>
      </c>
      <c r="V22" t="str">
        <f t="shared" ref="V22:V47" si="11">CONCATENATE(E22," ",F22," x ",G22,"mm = ",ROUND(M22*1.19,2)," €/Meter")</f>
        <v>Brett 22 x 100mm = 1,33 €/Meter</v>
      </c>
    </row>
    <row r="23" spans="1:25" ht="15.75" thickTop="1" x14ac:dyDescent="0.25">
      <c r="B23" s="56" t="str">
        <f t="shared" ref="B23:B30" si="12">B5</f>
        <v>Fichte/Tanne</v>
      </c>
      <c r="C23" s="100">
        <v>500</v>
      </c>
      <c r="E23" t="s">
        <v>4</v>
      </c>
      <c r="F23" s="110">
        <v>22</v>
      </c>
      <c r="G23" s="110">
        <v>150</v>
      </c>
      <c r="H23" s="111">
        <v>100</v>
      </c>
      <c r="I23" s="85">
        <f t="shared" si="1"/>
        <v>0.14666666666666667</v>
      </c>
      <c r="J23" s="86">
        <f t="shared" si="2"/>
        <v>3300</v>
      </c>
      <c r="K23" s="87">
        <f t="shared" si="3"/>
        <v>0.09</v>
      </c>
      <c r="L23" s="88">
        <f t="shared" si="4"/>
        <v>490.50000000000006</v>
      </c>
      <c r="M23" s="99">
        <f t="shared" si="5"/>
        <v>1.6186500000000001</v>
      </c>
      <c r="N23" s="88">
        <f t="shared" si="6"/>
        <v>664.35757575757577</v>
      </c>
      <c r="O23" s="88">
        <f t="shared" si="7"/>
        <v>2.19238</v>
      </c>
      <c r="P23" s="90">
        <f t="shared" si="8"/>
        <v>0.35444969573409929</v>
      </c>
      <c r="R23" s="88">
        <f t="shared" si="9"/>
        <v>1.9261935000000003</v>
      </c>
      <c r="S23" s="88">
        <f t="shared" si="10"/>
        <v>2.6089321999999999</v>
      </c>
      <c r="V23" t="str">
        <f t="shared" si="11"/>
        <v>Brett 22 x 150mm = 1,93 €/Meter</v>
      </c>
    </row>
    <row r="24" spans="1:25" x14ac:dyDescent="0.25">
      <c r="B24" s="56" t="str">
        <f t="shared" si="12"/>
        <v>Eiche</v>
      </c>
      <c r="C24" s="100">
        <v>600</v>
      </c>
      <c r="E24" t="s">
        <v>93</v>
      </c>
      <c r="F24" s="97">
        <v>22</v>
      </c>
      <c r="G24" s="112">
        <v>160</v>
      </c>
      <c r="H24" s="98">
        <v>100</v>
      </c>
      <c r="I24" s="85">
        <f t="shared" si="1"/>
        <v>0.13750000000000001</v>
      </c>
      <c r="J24" s="86">
        <f t="shared" si="2"/>
        <v>3520</v>
      </c>
      <c r="K24" s="87">
        <f t="shared" si="3"/>
        <v>0.10266666666666668</v>
      </c>
      <c r="L24" s="88">
        <f t="shared" si="4"/>
        <v>496.2</v>
      </c>
      <c r="M24" s="99">
        <f t="shared" si="5"/>
        <v>1.746624</v>
      </c>
      <c r="N24" s="88">
        <f t="shared" si="6"/>
        <v>666.46272727272731</v>
      </c>
      <c r="O24" s="88">
        <f t="shared" si="7"/>
        <v>2.3459487999999999</v>
      </c>
      <c r="P24" s="90">
        <f t="shared" si="8"/>
        <v>0.34313326737752375</v>
      </c>
      <c r="R24" s="88">
        <f t="shared" si="9"/>
        <v>2.0784825600000003</v>
      </c>
      <c r="S24" s="88">
        <f t="shared" si="10"/>
        <v>2.791679072</v>
      </c>
      <c r="V24" t="str">
        <f>CONCATENATE(E24," ",F24," x ",G24,"-220mm = ",ROUND(M24*1.19,2)," €/Meter")</f>
        <v>Bonanzabrett 22 x 160-220mm = 2,08 €/Meter</v>
      </c>
    </row>
    <row r="25" spans="1:25" x14ac:dyDescent="0.25">
      <c r="B25" s="56" t="str">
        <f t="shared" si="12"/>
        <v>Kirsche</v>
      </c>
      <c r="C25" s="100"/>
      <c r="E25" t="s">
        <v>51</v>
      </c>
      <c r="F25" s="97">
        <v>30</v>
      </c>
      <c r="G25" s="97">
        <v>40</v>
      </c>
      <c r="H25" s="98">
        <v>100</v>
      </c>
      <c r="I25" s="85">
        <f t="shared" si="1"/>
        <v>0.75</v>
      </c>
      <c r="J25" s="86">
        <f t="shared" si="2"/>
        <v>1200</v>
      </c>
      <c r="K25" s="87">
        <f t="shared" si="3"/>
        <v>0.48</v>
      </c>
      <c r="L25" s="88">
        <f t="shared" si="4"/>
        <v>666</v>
      </c>
      <c r="M25" s="99">
        <f t="shared" si="5"/>
        <v>0.79919999999999991</v>
      </c>
      <c r="N25" s="88">
        <f t="shared" si="6"/>
        <v>1007.5333333333334</v>
      </c>
      <c r="O25" s="88">
        <f t="shared" si="7"/>
        <v>1.2090399999999999</v>
      </c>
      <c r="P25" s="90">
        <f t="shared" si="8"/>
        <v>0.51281281281281288</v>
      </c>
      <c r="R25" s="88">
        <f t="shared" si="9"/>
        <v>0.95104799999999989</v>
      </c>
      <c r="S25" s="88">
        <f t="shared" si="10"/>
        <v>1.4387575999999997</v>
      </c>
      <c r="V25" t="str">
        <f t="shared" si="11"/>
        <v>Dachlatte 30 x 40mm = 0,95 €/Meter</v>
      </c>
    </row>
    <row r="26" spans="1:25" ht="15.75" thickBot="1" x14ac:dyDescent="0.3">
      <c r="B26" s="56" t="str">
        <f t="shared" si="12"/>
        <v>Esche</v>
      </c>
      <c r="C26" s="100"/>
      <c r="E26" s="101" t="s">
        <v>51</v>
      </c>
      <c r="F26" s="102">
        <v>40</v>
      </c>
      <c r="G26" s="102">
        <v>60</v>
      </c>
      <c r="H26" s="103">
        <v>100</v>
      </c>
      <c r="I26" s="104">
        <f t="shared" si="1"/>
        <v>0.66666666666666663</v>
      </c>
      <c r="J26" s="105">
        <f t="shared" si="2"/>
        <v>2400</v>
      </c>
      <c r="K26" s="106">
        <f t="shared" si="3"/>
        <v>0.12</v>
      </c>
      <c r="L26" s="107">
        <f t="shared" si="4"/>
        <v>504.00000000000006</v>
      </c>
      <c r="M26" s="108">
        <f t="shared" si="5"/>
        <v>1.2096</v>
      </c>
      <c r="N26" s="107">
        <f t="shared" si="6"/>
        <v>708.9666666666667</v>
      </c>
      <c r="O26" s="107">
        <f t="shared" si="7"/>
        <v>1.7015199999999999</v>
      </c>
      <c r="P26" s="109">
        <f t="shared" si="8"/>
        <v>0.40667989417989409</v>
      </c>
      <c r="R26" s="88">
        <f t="shared" si="9"/>
        <v>1.439424</v>
      </c>
      <c r="S26" s="88">
        <f t="shared" si="10"/>
        <v>2.0248087999999997</v>
      </c>
      <c r="V26" t="str">
        <f t="shared" si="11"/>
        <v>Dachlatte 40 x 60mm = 1,44 €/Meter</v>
      </c>
    </row>
    <row r="27" spans="1:25" ht="15.75" thickTop="1" x14ac:dyDescent="0.25">
      <c r="B27" s="56">
        <f t="shared" si="12"/>
        <v>0</v>
      </c>
      <c r="C27" s="100"/>
      <c r="E27" t="s">
        <v>52</v>
      </c>
      <c r="F27" s="110">
        <v>30</v>
      </c>
      <c r="G27" s="110">
        <v>100</v>
      </c>
      <c r="H27" s="111">
        <v>100</v>
      </c>
      <c r="I27" s="85">
        <f t="shared" si="1"/>
        <v>0.3</v>
      </c>
      <c r="J27" s="86">
        <f t="shared" si="2"/>
        <v>3000</v>
      </c>
      <c r="K27" s="87">
        <f t="shared" si="3"/>
        <v>0.1</v>
      </c>
      <c r="L27" s="88">
        <f t="shared" si="4"/>
        <v>495.00000000000006</v>
      </c>
      <c r="M27" s="99">
        <f t="shared" si="5"/>
        <v>1.4850000000000001</v>
      </c>
      <c r="N27" s="88">
        <f t="shared" si="6"/>
        <v>677.33333333333337</v>
      </c>
      <c r="O27" s="88">
        <f t="shared" si="7"/>
        <v>2.032</v>
      </c>
      <c r="P27" s="90">
        <f t="shared" si="8"/>
        <v>0.36835016835016826</v>
      </c>
      <c r="R27" s="88">
        <f t="shared" si="9"/>
        <v>1.76715</v>
      </c>
      <c r="S27" s="88">
        <f t="shared" si="10"/>
        <v>2.4180799999999998</v>
      </c>
      <c r="V27" t="str">
        <f t="shared" si="11"/>
        <v>Bohle 30 x 100mm = 1,77 €/Meter</v>
      </c>
    </row>
    <row r="28" spans="1:25" x14ac:dyDescent="0.25">
      <c r="B28" s="56">
        <f t="shared" si="12"/>
        <v>0</v>
      </c>
      <c r="C28" s="100"/>
      <c r="E28" t="s">
        <v>52</v>
      </c>
      <c r="F28" s="97">
        <v>30</v>
      </c>
      <c r="G28" s="97">
        <v>150</v>
      </c>
      <c r="H28" s="98">
        <v>100</v>
      </c>
      <c r="I28" s="85">
        <f t="shared" si="1"/>
        <v>0.2</v>
      </c>
      <c r="J28" s="86">
        <f t="shared" si="2"/>
        <v>4500</v>
      </c>
      <c r="K28" s="87">
        <f t="shared" si="3"/>
        <v>0.05</v>
      </c>
      <c r="L28" s="88">
        <f t="shared" si="4"/>
        <v>472.5</v>
      </c>
      <c r="M28" s="99">
        <f t="shared" si="5"/>
        <v>2.1262499999999998</v>
      </c>
      <c r="N28" s="88">
        <f t="shared" si="6"/>
        <v>622.55555555555554</v>
      </c>
      <c r="O28" s="88">
        <f t="shared" si="7"/>
        <v>2.8014999999999994</v>
      </c>
      <c r="P28" s="90">
        <f t="shared" si="8"/>
        <v>0.31757789535567305</v>
      </c>
      <c r="R28" s="88">
        <f t="shared" si="9"/>
        <v>2.5302374999999997</v>
      </c>
      <c r="S28" s="88">
        <f t="shared" si="10"/>
        <v>3.3337849999999993</v>
      </c>
      <c r="V28" t="str">
        <f t="shared" si="11"/>
        <v>Bohle 30 x 150mm = 2,53 €/Meter</v>
      </c>
    </row>
    <row r="29" spans="1:25" x14ac:dyDescent="0.25">
      <c r="B29" s="56">
        <f t="shared" si="12"/>
        <v>0</v>
      </c>
      <c r="C29" s="100"/>
      <c r="E29" t="s">
        <v>52</v>
      </c>
      <c r="F29" s="97">
        <v>30</v>
      </c>
      <c r="G29" s="97">
        <v>200</v>
      </c>
      <c r="H29" s="98">
        <v>100</v>
      </c>
      <c r="I29" s="85">
        <f t="shared" si="1"/>
        <v>0.15</v>
      </c>
      <c r="J29" s="86">
        <f t="shared" si="2"/>
        <v>6000</v>
      </c>
      <c r="K29" s="87">
        <f t="shared" si="3"/>
        <v>0.1</v>
      </c>
      <c r="L29" s="88">
        <f t="shared" si="4"/>
        <v>495.00000000000006</v>
      </c>
      <c r="M29" s="99">
        <f t="shared" si="5"/>
        <v>2.97</v>
      </c>
      <c r="N29" s="88">
        <f t="shared" si="6"/>
        <v>635.66666666666674</v>
      </c>
      <c r="O29" s="88">
        <f t="shared" si="7"/>
        <v>3.8140000000000001</v>
      </c>
      <c r="P29" s="90">
        <f t="shared" si="8"/>
        <v>0.28417508417508414</v>
      </c>
      <c r="R29" s="88">
        <f t="shared" si="9"/>
        <v>3.5343</v>
      </c>
      <c r="S29" s="88">
        <f t="shared" si="10"/>
        <v>4.5386600000000001</v>
      </c>
      <c r="V29" t="str">
        <f t="shared" si="11"/>
        <v>Bohle 30 x 200mm = 3,53 €/Meter</v>
      </c>
    </row>
    <row r="30" spans="1:25" x14ac:dyDescent="0.25">
      <c r="B30" s="76">
        <f t="shared" si="12"/>
        <v>0</v>
      </c>
      <c r="C30" s="113"/>
      <c r="E30" t="s">
        <v>52</v>
      </c>
      <c r="F30" s="97">
        <v>40</v>
      </c>
      <c r="G30" s="97">
        <v>100</v>
      </c>
      <c r="H30" s="98">
        <v>100</v>
      </c>
      <c r="I30" s="85">
        <f t="shared" si="1"/>
        <v>0.4</v>
      </c>
      <c r="J30" s="86">
        <f t="shared" si="2"/>
        <v>4000</v>
      </c>
      <c r="K30" s="87">
        <f t="shared" si="3"/>
        <v>6.6666666666666666E-2</v>
      </c>
      <c r="L30" s="88">
        <f t="shared" si="4"/>
        <v>480</v>
      </c>
      <c r="M30" s="99">
        <f t="shared" si="5"/>
        <v>1.92</v>
      </c>
      <c r="N30" s="88">
        <f t="shared" si="6"/>
        <v>638.5</v>
      </c>
      <c r="O30" s="88">
        <f t="shared" si="7"/>
        <v>2.5539999999999998</v>
      </c>
      <c r="P30" s="90">
        <f t="shared" si="8"/>
        <v>0.33020833333333327</v>
      </c>
      <c r="R30" s="88">
        <f t="shared" si="9"/>
        <v>2.2847999999999997</v>
      </c>
      <c r="S30" s="88">
        <f t="shared" si="10"/>
        <v>3.0392599999999996</v>
      </c>
      <c r="V30" t="str">
        <f t="shared" si="11"/>
        <v>Bohle 40 x 100mm = 2,28 €/Meter</v>
      </c>
    </row>
    <row r="31" spans="1:25" x14ac:dyDescent="0.25">
      <c r="E31" t="s">
        <v>52</v>
      </c>
      <c r="F31" s="97">
        <v>40</v>
      </c>
      <c r="G31" s="97">
        <v>150</v>
      </c>
      <c r="H31" s="98">
        <v>100</v>
      </c>
      <c r="I31" s="85">
        <f t="shared" si="1"/>
        <v>0.26666666666666666</v>
      </c>
      <c r="J31" s="86">
        <f t="shared" si="2"/>
        <v>6000</v>
      </c>
      <c r="K31" s="87">
        <f t="shared" si="3"/>
        <v>0</v>
      </c>
      <c r="L31" s="88">
        <f t="shared" si="4"/>
        <v>450</v>
      </c>
      <c r="M31" s="99">
        <f t="shared" si="5"/>
        <v>2.7</v>
      </c>
      <c r="N31" s="88">
        <f t="shared" si="6"/>
        <v>581.66666666666663</v>
      </c>
      <c r="O31" s="88">
        <f t="shared" si="7"/>
        <v>3.49</v>
      </c>
      <c r="P31" s="90">
        <f t="shared" si="8"/>
        <v>0.29259259259259257</v>
      </c>
      <c r="R31" s="88">
        <f t="shared" si="9"/>
        <v>3.2130000000000001</v>
      </c>
      <c r="S31" s="88">
        <f t="shared" si="10"/>
        <v>4.1531000000000002</v>
      </c>
      <c r="V31" t="str">
        <f t="shared" si="11"/>
        <v>Bohle 40 x 150mm = 3,21 €/Meter</v>
      </c>
    </row>
    <row r="32" spans="1:25" x14ac:dyDescent="0.25">
      <c r="E32" t="s">
        <v>52</v>
      </c>
      <c r="F32" s="97">
        <v>40</v>
      </c>
      <c r="G32" s="97">
        <v>200</v>
      </c>
      <c r="H32" s="98">
        <v>100</v>
      </c>
      <c r="I32" s="85">
        <f t="shared" si="1"/>
        <v>0.2</v>
      </c>
      <c r="J32" s="86">
        <f t="shared" si="2"/>
        <v>8000</v>
      </c>
      <c r="K32" s="87">
        <f t="shared" si="3"/>
        <v>0.11333333333333334</v>
      </c>
      <c r="L32" s="88">
        <f t="shared" si="4"/>
        <v>501</v>
      </c>
      <c r="M32" s="99">
        <f t="shared" si="5"/>
        <v>4.008</v>
      </c>
      <c r="N32" s="88">
        <f t="shared" si="6"/>
        <v>632.44999999999993</v>
      </c>
      <c r="O32" s="88">
        <f t="shared" si="7"/>
        <v>5.0595999999999997</v>
      </c>
      <c r="P32" s="90">
        <f t="shared" si="8"/>
        <v>0.26237524950099794</v>
      </c>
      <c r="R32" s="88">
        <f t="shared" si="9"/>
        <v>4.76952</v>
      </c>
      <c r="S32" s="88">
        <f t="shared" si="10"/>
        <v>6.0209239999999991</v>
      </c>
      <c r="V32" t="str">
        <f t="shared" si="11"/>
        <v>Bohle 40 x 200mm = 4,77 €/Meter</v>
      </c>
    </row>
    <row r="33" spans="5:22" x14ac:dyDescent="0.25">
      <c r="E33" t="s">
        <v>0</v>
      </c>
      <c r="F33" s="97">
        <v>60</v>
      </c>
      <c r="G33" s="97">
        <v>60</v>
      </c>
      <c r="H33" s="98">
        <v>100</v>
      </c>
      <c r="I33" s="85">
        <f t="shared" si="1"/>
        <v>1</v>
      </c>
      <c r="J33" s="86">
        <f t="shared" si="2"/>
        <v>3600</v>
      </c>
      <c r="K33" s="87">
        <f t="shared" si="3"/>
        <v>0.08</v>
      </c>
      <c r="L33" s="88">
        <f t="shared" si="4"/>
        <v>486.00000000000006</v>
      </c>
      <c r="M33" s="99">
        <f t="shared" si="5"/>
        <v>1.7496000000000003</v>
      </c>
      <c r="N33" s="88">
        <f t="shared" si="6"/>
        <v>652.64444444444439</v>
      </c>
      <c r="O33" s="88">
        <f t="shared" si="7"/>
        <v>2.3495200000000001</v>
      </c>
      <c r="P33" s="90">
        <f t="shared" si="8"/>
        <v>0.34288980338363034</v>
      </c>
      <c r="R33" s="88">
        <f t="shared" si="9"/>
        <v>2.0820240000000001</v>
      </c>
      <c r="S33" s="88">
        <f t="shared" si="10"/>
        <v>2.7959288</v>
      </c>
      <c r="V33" t="str">
        <f t="shared" si="11"/>
        <v>Kantholz 60 x 60mm = 2,08 €/Meter</v>
      </c>
    </row>
    <row r="34" spans="5:22" x14ac:dyDescent="0.25">
      <c r="E34" t="s">
        <v>0</v>
      </c>
      <c r="F34" s="97">
        <v>60</v>
      </c>
      <c r="G34" s="97">
        <v>80</v>
      </c>
      <c r="H34" s="98">
        <v>100</v>
      </c>
      <c r="I34" s="85">
        <f t="shared" si="1"/>
        <v>0.75</v>
      </c>
      <c r="J34" s="86">
        <f t="shared" si="2"/>
        <v>4800</v>
      </c>
      <c r="K34" s="87">
        <f t="shared" si="3"/>
        <v>0.04</v>
      </c>
      <c r="L34" s="88">
        <f t="shared" si="4"/>
        <v>468</v>
      </c>
      <c r="M34" s="99">
        <f t="shared" si="5"/>
        <v>2.2464</v>
      </c>
      <c r="N34" s="88">
        <f t="shared" si="6"/>
        <v>613.68333333333328</v>
      </c>
      <c r="O34" s="88">
        <f t="shared" si="7"/>
        <v>2.9456799999999999</v>
      </c>
      <c r="P34" s="90">
        <f t="shared" si="8"/>
        <v>0.31128917378917376</v>
      </c>
      <c r="R34" s="88">
        <f t="shared" si="9"/>
        <v>2.673216</v>
      </c>
      <c r="S34" s="88">
        <f t="shared" si="10"/>
        <v>3.5053591999999996</v>
      </c>
      <c r="V34" t="str">
        <f t="shared" si="11"/>
        <v>Kantholz 60 x 80mm = 2,67 €/Meter</v>
      </c>
    </row>
    <row r="35" spans="5:22" x14ac:dyDescent="0.25">
      <c r="E35" t="s">
        <v>0</v>
      </c>
      <c r="F35" s="97">
        <v>60</v>
      </c>
      <c r="G35" s="97">
        <v>120</v>
      </c>
      <c r="H35" s="98">
        <v>100</v>
      </c>
      <c r="I35" s="85">
        <f t="shared" si="1"/>
        <v>0.5</v>
      </c>
      <c r="J35" s="86">
        <f t="shared" si="2"/>
        <v>7200</v>
      </c>
      <c r="K35" s="87">
        <f t="shared" si="3"/>
        <v>8.0000000000000002E-3</v>
      </c>
      <c r="L35" s="88">
        <f t="shared" si="4"/>
        <v>453.6</v>
      </c>
      <c r="M35" s="99">
        <f t="shared" si="5"/>
        <v>3.2659199999999999</v>
      </c>
      <c r="N35" s="88">
        <f t="shared" si="6"/>
        <v>579.04222222222222</v>
      </c>
      <c r="O35" s="88">
        <f t="shared" si="7"/>
        <v>4.1691039999999999</v>
      </c>
      <c r="P35" s="90">
        <f t="shared" si="8"/>
        <v>0.27654810895551635</v>
      </c>
      <c r="R35" s="88">
        <f t="shared" si="9"/>
        <v>3.8864447999999996</v>
      </c>
      <c r="S35" s="88">
        <f t="shared" si="10"/>
        <v>4.9612337599999998</v>
      </c>
      <c r="V35" t="str">
        <f t="shared" si="11"/>
        <v>Kantholz 60 x 120mm = 3,89 €/Meter</v>
      </c>
    </row>
    <row r="36" spans="5:22" x14ac:dyDescent="0.25">
      <c r="E36" t="s">
        <v>0</v>
      </c>
      <c r="F36" s="97">
        <v>60</v>
      </c>
      <c r="G36" s="97">
        <v>160</v>
      </c>
      <c r="H36" s="98">
        <v>100</v>
      </c>
      <c r="I36" s="85">
        <f t="shared" si="1"/>
        <v>0.375</v>
      </c>
      <c r="J36" s="86">
        <f t="shared" si="2"/>
        <v>9600</v>
      </c>
      <c r="K36" s="87">
        <f t="shared" si="3"/>
        <v>4.3999999999999997E-2</v>
      </c>
      <c r="L36" s="88">
        <f t="shared" si="4"/>
        <v>469.8</v>
      </c>
      <c r="M36" s="99">
        <f t="shared" si="5"/>
        <v>4.5100799999999994</v>
      </c>
      <c r="N36" s="88">
        <f t="shared" si="6"/>
        <v>589.80166666666662</v>
      </c>
      <c r="O36" s="88">
        <f t="shared" si="7"/>
        <v>5.6620959999999991</v>
      </c>
      <c r="P36" s="90">
        <f t="shared" si="8"/>
        <v>0.25543138924364972</v>
      </c>
      <c r="R36" s="88">
        <f t="shared" si="9"/>
        <v>5.366995199999999</v>
      </c>
      <c r="S36" s="88">
        <f t="shared" si="10"/>
        <v>6.7378942399999984</v>
      </c>
      <c r="V36" t="str">
        <f t="shared" si="11"/>
        <v>Kantholz 60 x 160mm = 5,37 €/Meter</v>
      </c>
    </row>
    <row r="37" spans="5:22" x14ac:dyDescent="0.25">
      <c r="E37" t="s">
        <v>0</v>
      </c>
      <c r="F37" s="97">
        <v>60</v>
      </c>
      <c r="G37" s="97">
        <v>200</v>
      </c>
      <c r="H37" s="98">
        <v>100</v>
      </c>
      <c r="I37" s="85">
        <f t="shared" si="1"/>
        <v>0.3</v>
      </c>
      <c r="J37" s="86">
        <f t="shared" si="2"/>
        <v>12000</v>
      </c>
      <c r="K37" s="87">
        <f t="shared" si="3"/>
        <v>0.14000000000000001</v>
      </c>
      <c r="L37" s="88">
        <f t="shared" si="4"/>
        <v>513</v>
      </c>
      <c r="M37" s="99">
        <f t="shared" si="5"/>
        <v>6.1559999999999997</v>
      </c>
      <c r="N37" s="88">
        <f t="shared" si="6"/>
        <v>636.43333333333328</v>
      </c>
      <c r="O37" s="88">
        <f t="shared" si="7"/>
        <v>7.6371999999999991</v>
      </c>
      <c r="P37" s="90">
        <f t="shared" si="8"/>
        <v>0.24061078622482124</v>
      </c>
      <c r="R37" s="88">
        <f t="shared" si="9"/>
        <v>7.325639999999999</v>
      </c>
      <c r="S37" s="88">
        <f t="shared" si="10"/>
        <v>9.0882679999999993</v>
      </c>
      <c r="V37" t="str">
        <f t="shared" si="11"/>
        <v>Kantholz 60 x 200mm = 7,33 €/Meter</v>
      </c>
    </row>
    <row r="38" spans="5:22" ht="15.75" thickBot="1" x14ac:dyDescent="0.3">
      <c r="E38" s="101" t="s">
        <v>0</v>
      </c>
      <c r="F38" s="102">
        <v>80</v>
      </c>
      <c r="G38" s="102">
        <v>80</v>
      </c>
      <c r="H38" s="103">
        <v>100</v>
      </c>
      <c r="I38" s="104">
        <f t="shared" si="1"/>
        <v>1</v>
      </c>
      <c r="J38" s="105">
        <f t="shared" si="2"/>
        <v>6400</v>
      </c>
      <c r="K38" s="106">
        <f t="shared" si="3"/>
        <v>2.6666666666666666E-3</v>
      </c>
      <c r="L38" s="107">
        <f t="shared" si="4"/>
        <v>451.2</v>
      </c>
      <c r="M38" s="108">
        <f t="shared" si="5"/>
        <v>2.88768</v>
      </c>
      <c r="N38" s="107">
        <f t="shared" si="6"/>
        <v>580.50249999999994</v>
      </c>
      <c r="O38" s="107">
        <f t="shared" si="7"/>
        <v>3.7152159999999999</v>
      </c>
      <c r="P38" s="109">
        <f t="shared" si="8"/>
        <v>0.286574689716312</v>
      </c>
      <c r="R38" s="88">
        <f t="shared" si="9"/>
        <v>3.4363391999999999</v>
      </c>
      <c r="S38" s="88">
        <f t="shared" si="10"/>
        <v>4.4211070399999999</v>
      </c>
      <c r="V38" t="str">
        <f t="shared" si="11"/>
        <v>Kantholz 80 x 80mm = 3,44 €/Meter</v>
      </c>
    </row>
    <row r="39" spans="5:22" ht="15.75" thickTop="1" x14ac:dyDescent="0.25">
      <c r="E39" t="s">
        <v>0</v>
      </c>
      <c r="F39" s="110">
        <v>80</v>
      </c>
      <c r="G39" s="110">
        <v>120</v>
      </c>
      <c r="H39" s="111">
        <v>100</v>
      </c>
      <c r="I39" s="85">
        <f t="shared" si="1"/>
        <v>0.66666666666666663</v>
      </c>
      <c r="J39" s="86">
        <f t="shared" si="2"/>
        <v>9600</v>
      </c>
      <c r="K39" s="87">
        <f t="shared" si="3"/>
        <v>2.4E-2</v>
      </c>
      <c r="L39" s="88">
        <f t="shared" si="4"/>
        <v>460.8</v>
      </c>
      <c r="M39" s="99">
        <f t="shared" si="5"/>
        <v>4.4236800000000001</v>
      </c>
      <c r="N39" s="88">
        <f t="shared" si="6"/>
        <v>579.00166666666667</v>
      </c>
      <c r="O39" s="88">
        <f t="shared" si="7"/>
        <v>5.5584160000000002</v>
      </c>
      <c r="P39" s="90">
        <f t="shared" si="8"/>
        <v>0.25651403356481484</v>
      </c>
      <c r="R39" s="88">
        <f t="shared" si="9"/>
        <v>5.2641792000000001</v>
      </c>
      <c r="S39" s="88">
        <f t="shared" si="10"/>
        <v>6.6145150399999997</v>
      </c>
      <c r="V39" t="str">
        <f t="shared" si="11"/>
        <v>Kantholz 80 x 120mm = 5,26 €/Meter</v>
      </c>
    </row>
    <row r="40" spans="5:22" x14ac:dyDescent="0.25">
      <c r="E40" t="s">
        <v>0</v>
      </c>
      <c r="F40" s="97">
        <v>80</v>
      </c>
      <c r="G40" s="97">
        <v>160</v>
      </c>
      <c r="H40" s="98">
        <v>100</v>
      </c>
      <c r="I40" s="85">
        <f t="shared" si="1"/>
        <v>0.5</v>
      </c>
      <c r="J40" s="86">
        <f t="shared" si="2"/>
        <v>12800</v>
      </c>
      <c r="K40" s="87">
        <f t="shared" si="3"/>
        <v>6.5333333333333327E-2</v>
      </c>
      <c r="L40" s="88">
        <f t="shared" si="4"/>
        <v>479.4</v>
      </c>
      <c r="M40" s="99">
        <f t="shared" si="5"/>
        <v>6.1363200000000004</v>
      </c>
      <c r="N40" s="88">
        <f t="shared" si="6"/>
        <v>594.81124999999997</v>
      </c>
      <c r="O40" s="88">
        <f t="shared" si="7"/>
        <v>7.6135840000000004</v>
      </c>
      <c r="P40" s="90">
        <f t="shared" si="8"/>
        <v>0.24074103045473505</v>
      </c>
      <c r="R40" s="88">
        <f t="shared" si="9"/>
        <v>7.3022208000000006</v>
      </c>
      <c r="S40" s="88">
        <f t="shared" si="10"/>
        <v>9.0601649600000016</v>
      </c>
      <c r="V40" t="str">
        <f t="shared" si="11"/>
        <v>Kantholz 80 x 160mm = 7,3 €/Meter</v>
      </c>
    </row>
    <row r="41" spans="5:22" x14ac:dyDescent="0.25">
      <c r="E41" t="s">
        <v>0</v>
      </c>
      <c r="F41" s="97">
        <v>80</v>
      </c>
      <c r="G41" s="97">
        <v>200</v>
      </c>
      <c r="H41" s="98">
        <v>100</v>
      </c>
      <c r="I41" s="85">
        <f t="shared" si="1"/>
        <v>0.4</v>
      </c>
      <c r="J41" s="86">
        <f t="shared" si="2"/>
        <v>16000</v>
      </c>
      <c r="K41" s="87">
        <f t="shared" si="3"/>
        <v>0.16666666666666669</v>
      </c>
      <c r="L41" s="88">
        <f t="shared" si="4"/>
        <v>525</v>
      </c>
      <c r="M41" s="99">
        <f t="shared" si="5"/>
        <v>8.4</v>
      </c>
      <c r="N41" s="88">
        <f t="shared" si="6"/>
        <v>645.625</v>
      </c>
      <c r="O41" s="88">
        <f t="shared" si="7"/>
        <v>10.33</v>
      </c>
      <c r="P41" s="90">
        <f t="shared" si="8"/>
        <v>0.22976190476190472</v>
      </c>
      <c r="R41" s="88">
        <f t="shared" si="9"/>
        <v>9.9960000000000004</v>
      </c>
      <c r="S41" s="88">
        <f t="shared" si="10"/>
        <v>12.2927</v>
      </c>
      <c r="V41" t="str">
        <f t="shared" si="11"/>
        <v>Kantholz 80 x 200mm = 10 €/Meter</v>
      </c>
    </row>
    <row r="42" spans="5:22" x14ac:dyDescent="0.25">
      <c r="E42" t="s">
        <v>0</v>
      </c>
      <c r="F42" s="97">
        <v>100</v>
      </c>
      <c r="G42" s="97">
        <v>100</v>
      </c>
      <c r="H42" s="98">
        <v>100</v>
      </c>
      <c r="I42" s="85">
        <f t="shared" si="1"/>
        <v>1</v>
      </c>
      <c r="J42" s="86">
        <f t="shared" si="2"/>
        <v>10000</v>
      </c>
      <c r="K42" s="87">
        <f t="shared" si="3"/>
        <v>2.6666666666666665E-2</v>
      </c>
      <c r="L42" s="88">
        <f t="shared" si="4"/>
        <v>462</v>
      </c>
      <c r="M42" s="99">
        <f t="shared" si="5"/>
        <v>4.62</v>
      </c>
      <c r="N42" s="88">
        <f t="shared" si="6"/>
        <v>579.4</v>
      </c>
      <c r="O42" s="88">
        <f t="shared" si="7"/>
        <v>5.7939999999999996</v>
      </c>
      <c r="P42" s="90">
        <f t="shared" si="8"/>
        <v>0.25411255411255401</v>
      </c>
      <c r="R42" s="88">
        <f t="shared" si="9"/>
        <v>5.4977999999999998</v>
      </c>
      <c r="S42" s="88">
        <f t="shared" si="10"/>
        <v>6.8948599999999995</v>
      </c>
      <c r="V42" t="str">
        <f t="shared" si="11"/>
        <v>Kantholz 100 x 100mm = 5,5 €/Meter</v>
      </c>
    </row>
    <row r="43" spans="5:22" x14ac:dyDescent="0.25">
      <c r="E43" t="s">
        <v>0</v>
      </c>
      <c r="F43" s="97">
        <v>100</v>
      </c>
      <c r="G43" s="97">
        <v>140</v>
      </c>
      <c r="H43" s="98">
        <v>100</v>
      </c>
      <c r="I43" s="85">
        <f t="shared" si="1"/>
        <v>0.7142857142857143</v>
      </c>
      <c r="J43" s="86">
        <f t="shared" si="2"/>
        <v>14000</v>
      </c>
      <c r="K43" s="87">
        <f t="shared" si="3"/>
        <v>5.333333333333333E-2</v>
      </c>
      <c r="L43" s="88">
        <f t="shared" si="4"/>
        <v>473.99999999999994</v>
      </c>
      <c r="M43" s="99">
        <f t="shared" si="5"/>
        <v>6.6359999999999992</v>
      </c>
      <c r="N43" s="88">
        <f t="shared" si="6"/>
        <v>586.65714285714273</v>
      </c>
      <c r="O43" s="88">
        <f t="shared" si="7"/>
        <v>8.2131999999999987</v>
      </c>
      <c r="P43" s="90">
        <f t="shared" si="8"/>
        <v>0.237673297166968</v>
      </c>
      <c r="R43" s="88">
        <f t="shared" si="9"/>
        <v>7.8968399999999983</v>
      </c>
      <c r="S43" s="88">
        <f t="shared" si="10"/>
        <v>9.7737079999999974</v>
      </c>
      <c r="V43" t="str">
        <f t="shared" si="11"/>
        <v>Kantholz 100 x 140mm = 7,9 €/Meter</v>
      </c>
    </row>
    <row r="44" spans="5:22" x14ac:dyDescent="0.25">
      <c r="E44" t="s">
        <v>0</v>
      </c>
      <c r="F44" s="97">
        <v>100</v>
      </c>
      <c r="G44" s="97">
        <v>180</v>
      </c>
      <c r="H44" s="98">
        <v>100</v>
      </c>
      <c r="I44" s="85">
        <f t="shared" si="1"/>
        <v>0.55555555555555558</v>
      </c>
      <c r="J44" s="86">
        <f t="shared" si="2"/>
        <v>18000</v>
      </c>
      <c r="K44" s="87">
        <f t="shared" si="3"/>
        <v>0.14000000000000001</v>
      </c>
      <c r="L44" s="88">
        <f t="shared" si="4"/>
        <v>513</v>
      </c>
      <c r="M44" s="99">
        <f t="shared" si="5"/>
        <v>9.234</v>
      </c>
      <c r="N44" s="88">
        <f t="shared" si="6"/>
        <v>629.48888888888894</v>
      </c>
      <c r="O44" s="88">
        <f t="shared" si="7"/>
        <v>11.3308</v>
      </c>
      <c r="P44" s="90">
        <f t="shared" si="8"/>
        <v>0.22707385748321421</v>
      </c>
      <c r="R44" s="88">
        <f t="shared" si="9"/>
        <v>10.98846</v>
      </c>
      <c r="S44" s="88">
        <f t="shared" si="10"/>
        <v>13.483651999999999</v>
      </c>
      <c r="V44" t="str">
        <f t="shared" si="11"/>
        <v>Kantholz 100 x 180mm = 10,99 €/Meter</v>
      </c>
    </row>
    <row r="45" spans="5:22" ht="15.75" thickBot="1" x14ac:dyDescent="0.3">
      <c r="E45" s="101" t="s">
        <v>0</v>
      </c>
      <c r="F45" s="102">
        <v>120</v>
      </c>
      <c r="G45" s="102">
        <v>120</v>
      </c>
      <c r="H45" s="103">
        <v>100</v>
      </c>
      <c r="I45" s="104">
        <f t="shared" si="1"/>
        <v>1</v>
      </c>
      <c r="J45" s="105">
        <f t="shared" si="2"/>
        <v>14400</v>
      </c>
      <c r="K45" s="106">
        <f t="shared" si="3"/>
        <v>5.5999999999999994E-2</v>
      </c>
      <c r="L45" s="107">
        <f t="shared" si="4"/>
        <v>475.20000000000005</v>
      </c>
      <c r="M45" s="108">
        <f t="shared" si="5"/>
        <v>6.8428800000000001</v>
      </c>
      <c r="N45" s="107">
        <f t="shared" si="6"/>
        <v>587.60111111111121</v>
      </c>
      <c r="O45" s="107">
        <f t="shared" si="7"/>
        <v>8.4614560000000001</v>
      </c>
      <c r="P45" s="109">
        <f t="shared" si="8"/>
        <v>0.23653432472876917</v>
      </c>
      <c r="R45" s="88">
        <f t="shared" si="9"/>
        <v>8.1430272000000006</v>
      </c>
      <c r="S45" s="88">
        <f t="shared" si="10"/>
        <v>10.069132639999999</v>
      </c>
      <c r="V45" t="str">
        <f t="shared" si="11"/>
        <v>Kantholz 120 x 120mm = 8,14 €/Meter</v>
      </c>
    </row>
    <row r="46" spans="5:22" ht="15.75" thickTop="1" x14ac:dyDescent="0.25">
      <c r="E46" t="s">
        <v>0</v>
      </c>
      <c r="F46" s="110">
        <v>120</v>
      </c>
      <c r="G46" s="110">
        <v>160</v>
      </c>
      <c r="H46" s="111">
        <v>100</v>
      </c>
      <c r="I46" s="85">
        <f t="shared" si="1"/>
        <v>0.75</v>
      </c>
      <c r="J46" s="86">
        <f t="shared" si="2"/>
        <v>19200</v>
      </c>
      <c r="K46" s="87">
        <f t="shared" si="3"/>
        <v>0.10800000000000001</v>
      </c>
      <c r="L46" s="88">
        <f t="shared" si="4"/>
        <v>498.6</v>
      </c>
      <c r="M46" s="99">
        <f t="shared" si="5"/>
        <v>9.5731199999999994</v>
      </c>
      <c r="N46" s="88">
        <f t="shared" si="6"/>
        <v>611.34083333333342</v>
      </c>
      <c r="O46" s="88">
        <f t="shared" si="7"/>
        <v>11.737743999999999</v>
      </c>
      <c r="P46" s="90">
        <f t="shared" si="8"/>
        <v>0.22611478807327182</v>
      </c>
      <c r="R46" s="88">
        <f t="shared" si="9"/>
        <v>11.392012799999998</v>
      </c>
      <c r="S46" s="88">
        <f t="shared" si="10"/>
        <v>13.967915359999999</v>
      </c>
      <c r="V46" t="str">
        <f t="shared" si="11"/>
        <v>Kantholz 120 x 160mm = 11,39 €/Meter</v>
      </c>
    </row>
    <row r="47" spans="5:22" x14ac:dyDescent="0.25">
      <c r="E47" t="s">
        <v>0</v>
      </c>
      <c r="F47" s="97">
        <v>120</v>
      </c>
      <c r="G47" s="97">
        <v>200</v>
      </c>
      <c r="H47" s="98">
        <v>100</v>
      </c>
      <c r="I47" s="85">
        <f t="shared" si="1"/>
        <v>0.6</v>
      </c>
      <c r="J47" s="86">
        <f t="shared" si="2"/>
        <v>24000</v>
      </c>
      <c r="K47" s="87">
        <f t="shared" si="3"/>
        <v>0.22</v>
      </c>
      <c r="L47" s="88">
        <f t="shared" si="4"/>
        <v>549</v>
      </c>
      <c r="M47" s="99">
        <f t="shared" si="5"/>
        <v>13.176</v>
      </c>
      <c r="N47" s="88">
        <f t="shared" si="6"/>
        <v>669.21666666666658</v>
      </c>
      <c r="O47" s="88">
        <f t="shared" si="7"/>
        <v>16.061199999999999</v>
      </c>
      <c r="P47" s="90">
        <f t="shared" si="8"/>
        <v>0.21897389192471153</v>
      </c>
      <c r="R47" s="88">
        <f t="shared" si="9"/>
        <v>15.679439999999998</v>
      </c>
      <c r="S47" s="88">
        <f t="shared" si="10"/>
        <v>19.112827999999997</v>
      </c>
      <c r="V47" t="str">
        <f t="shared" si="11"/>
        <v>Kantholz 120 x 200mm = 15,68 €/Meter</v>
      </c>
    </row>
  </sheetData>
  <mergeCells count="3">
    <mergeCell ref="B17:E18"/>
    <mergeCell ref="V20:W20"/>
    <mergeCell ref="B21:C21"/>
  </mergeCells>
  <conditionalFormatting sqref="L21:L30 L1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1:L47">
    <cfRule type="colorScale" priority="3">
      <colorScale>
        <cfvo type="min"/>
        <cfvo type="percent" val="25"/>
        <cfvo type="max"/>
        <color rgb="FF63BE7B"/>
        <color rgb="FFFFEB84"/>
        <color rgb="FFF8696B"/>
      </colorScale>
    </cfRule>
  </conditionalFormatting>
  <conditionalFormatting sqref="N21:N30 N1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1:N47">
    <cfRule type="colorScale" priority="1">
      <colorScale>
        <cfvo type="min"/>
        <cfvo type="percent" val="25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Angebot</vt:lpstr>
      <vt:lpstr>Preisermittlung</vt:lpstr>
      <vt:lpstr>Angebot!Druckbereich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Bergmann</dc:creator>
  <cp:lastModifiedBy>Thomas Bergmann</cp:lastModifiedBy>
  <cp:lastPrinted>2022-04-13T04:00:03Z</cp:lastPrinted>
  <dcterms:created xsi:type="dcterms:W3CDTF">2017-04-22T12:43:00Z</dcterms:created>
  <dcterms:modified xsi:type="dcterms:W3CDTF">2023-03-26T05:37:14Z</dcterms:modified>
</cp:coreProperties>
</file>